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xr:revisionPtr revIDLastSave="0" documentId="8_{C83CC383-CB0C-40E6-9839-71ACC7B42593}" xr6:coauthVersionLast="45" xr6:coauthVersionMax="45" xr10:uidLastSave="{00000000-0000-0000-0000-000000000000}"/>
  <bookViews>
    <workbookView xWindow="-120" yWindow="-120" windowWidth="24240" windowHeight="1302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5" i="1" l="1"/>
  <c r="H92" i="1" l="1"/>
  <c r="H13" i="1" l="1"/>
  <c r="K20" i="1" l="1"/>
  <c r="H11" i="1" l="1"/>
  <c r="H36" i="1" l="1"/>
  <c r="H70" i="1"/>
  <c r="K88" i="1" l="1"/>
  <c r="K48" i="1"/>
  <c r="K47" i="1" l="1"/>
  <c r="H32" i="1" l="1"/>
  <c r="I32" i="1" s="1"/>
  <c r="H33" i="1"/>
  <c r="I33" i="1" s="1"/>
  <c r="K33" i="1"/>
  <c r="L33" i="1" l="1"/>
  <c r="L32" i="1"/>
  <c r="H23" i="1"/>
  <c r="I23" i="1" s="1"/>
  <c r="K86" i="1"/>
  <c r="K70" i="1"/>
  <c r="K67" i="1"/>
  <c r="K60" i="1"/>
  <c r="K59" i="1"/>
  <c r="K58" i="1"/>
  <c r="K54" i="1"/>
  <c r="K53" i="1"/>
  <c r="K52" i="1"/>
  <c r="K46" i="1"/>
  <c r="K43" i="1"/>
  <c r="K41" i="1"/>
  <c r="K36" i="1"/>
  <c r="K25" i="1"/>
  <c r="K19" i="1"/>
  <c r="K18" i="1"/>
  <c r="K16" i="1"/>
  <c r="K15" i="1"/>
  <c r="K14" i="1"/>
  <c r="K13" i="1"/>
  <c r="K12" i="1"/>
  <c r="K11" i="1"/>
  <c r="L23" i="1" l="1"/>
  <c r="I60" i="1"/>
  <c r="L60" i="1" s="1"/>
  <c r="E106" i="1" l="1"/>
  <c r="H105" i="1"/>
  <c r="I105" i="1" s="1"/>
  <c r="L105" i="1" s="1"/>
  <c r="H104" i="1"/>
  <c r="H103" i="1"/>
  <c r="I103" i="1" s="1"/>
  <c r="L103" i="1" s="1"/>
  <c r="H106" i="1" l="1"/>
  <c r="I104" i="1"/>
  <c r="I106" i="1" l="1"/>
  <c r="L104" i="1"/>
  <c r="L106" i="1" s="1"/>
  <c r="H86" i="1" l="1"/>
  <c r="H47" i="1" l="1"/>
  <c r="H48" i="1" l="1"/>
  <c r="H15" i="1" l="1"/>
  <c r="K17" i="1" l="1"/>
  <c r="H16" i="1"/>
  <c r="I55" i="1" l="1"/>
  <c r="I54" i="1"/>
  <c r="E84" i="1" l="1"/>
  <c r="I73" i="1" l="1"/>
  <c r="L73" i="1" s="1"/>
  <c r="H96" i="1"/>
  <c r="I94" i="1"/>
  <c r="L94" i="1" s="1"/>
  <c r="I98" i="1"/>
  <c r="L98" i="1" s="1"/>
  <c r="I95" i="1"/>
  <c r="L95" i="1" s="1"/>
  <c r="E96" i="1"/>
  <c r="I83" i="1"/>
  <c r="L83" i="1" s="1"/>
  <c r="I82" i="1"/>
  <c r="L82" i="1" s="1"/>
  <c r="I81" i="1"/>
  <c r="L81" i="1" s="1"/>
  <c r="L96" i="1" l="1"/>
  <c r="I96" i="1"/>
  <c r="H20" i="1" l="1"/>
  <c r="H43" i="1" l="1"/>
  <c r="H46" i="1" l="1"/>
  <c r="H41" i="1" l="1"/>
  <c r="H24" i="1"/>
  <c r="I25" i="1"/>
  <c r="L25" i="1" s="1"/>
  <c r="H18" i="1" l="1"/>
  <c r="H74" i="1" l="1"/>
  <c r="L42" i="1" l="1"/>
  <c r="H28" i="1" l="1"/>
  <c r="I74" i="1" l="1"/>
  <c r="L74" i="1"/>
  <c r="H29" i="1"/>
  <c r="L28" i="1" l="1"/>
  <c r="L29" i="1"/>
  <c r="E21" i="1"/>
  <c r="L20" i="1"/>
  <c r="L19" i="1"/>
  <c r="I19" i="1"/>
  <c r="I18" i="1"/>
  <c r="L18" i="1" s="1"/>
  <c r="H17" i="1"/>
  <c r="L17" i="1" s="1"/>
  <c r="I16" i="1"/>
  <c r="L15" i="1"/>
  <c r="I13" i="1"/>
  <c r="L12" i="1"/>
  <c r="I12" i="1"/>
  <c r="I11" i="1"/>
  <c r="I14" i="1" l="1"/>
  <c r="L14" i="1"/>
  <c r="I15" i="1"/>
  <c r="I20" i="1"/>
  <c r="H21" i="1"/>
  <c r="I17" i="1"/>
  <c r="L13" i="1"/>
  <c r="L16" i="1"/>
  <c r="L11" i="1"/>
  <c r="H75" i="1"/>
  <c r="I75" i="1" l="1"/>
  <c r="I21" i="1"/>
  <c r="L21" i="1"/>
  <c r="L75" i="1"/>
  <c r="L46" i="1" l="1"/>
  <c r="I46" i="1" l="1"/>
  <c r="I36" i="1" l="1"/>
  <c r="L36" i="1" s="1"/>
  <c r="I47" i="1" l="1"/>
  <c r="L41" i="1" l="1"/>
  <c r="I41" i="1"/>
  <c r="L47" i="1"/>
  <c r="L48" i="1" l="1"/>
  <c r="L49" i="1" s="1"/>
  <c r="H26" i="1" l="1"/>
  <c r="H88" i="1" l="1"/>
  <c r="L88" i="1" s="1"/>
  <c r="I86" i="1"/>
  <c r="H80" i="1"/>
  <c r="L80" i="1" s="1"/>
  <c r="H78" i="1"/>
  <c r="L78" i="1" s="1"/>
  <c r="H77" i="1"/>
  <c r="L77" i="1" s="1"/>
  <c r="H76" i="1"/>
  <c r="H79" i="1"/>
  <c r="L79" i="1" s="1"/>
  <c r="L70" i="1"/>
  <c r="L69" i="1"/>
  <c r="L43" i="1"/>
  <c r="L38" i="1"/>
  <c r="L37" i="1"/>
  <c r="L35" i="1"/>
  <c r="L24" i="1"/>
  <c r="H84" i="1" l="1"/>
  <c r="L76" i="1"/>
  <c r="L84" i="1" s="1"/>
  <c r="L44" i="1"/>
  <c r="L39" i="1"/>
  <c r="H71" i="1"/>
  <c r="I88" i="1"/>
  <c r="I59" i="1"/>
  <c r="L86" i="1" l="1"/>
  <c r="I56" i="1" l="1"/>
  <c r="I80" i="1" l="1"/>
  <c r="I79" i="1"/>
  <c r="I78" i="1"/>
  <c r="I77" i="1"/>
  <c r="I76" i="1"/>
  <c r="E71" i="1"/>
  <c r="I70" i="1"/>
  <c r="I69" i="1"/>
  <c r="I67" i="1"/>
  <c r="I66" i="1"/>
  <c r="I65" i="1"/>
  <c r="I64" i="1"/>
  <c r="H62" i="1"/>
  <c r="E62" i="1"/>
  <c r="I61" i="1"/>
  <c r="L61" i="1" s="1"/>
  <c r="I58" i="1"/>
  <c r="L58" i="1" s="1"/>
  <c r="I57" i="1"/>
  <c r="I53" i="1"/>
  <c r="L53" i="1" s="1"/>
  <c r="I52" i="1"/>
  <c r="H49" i="1"/>
  <c r="E49" i="1"/>
  <c r="I48" i="1"/>
  <c r="H44" i="1"/>
  <c r="E44" i="1"/>
  <c r="I43" i="1"/>
  <c r="I42" i="1"/>
  <c r="H39" i="1"/>
  <c r="E39" i="1"/>
  <c r="I38" i="1"/>
  <c r="I37" i="1"/>
  <c r="I35" i="1"/>
  <c r="I29" i="1"/>
  <c r="I28" i="1"/>
  <c r="L26" i="1"/>
  <c r="E26" i="1"/>
  <c r="I24" i="1"/>
  <c r="H101" i="1" l="1"/>
  <c r="E101" i="1"/>
  <c r="I84" i="1"/>
  <c r="L62" i="1"/>
  <c r="L71" i="1"/>
  <c r="I44" i="1"/>
  <c r="I62" i="1"/>
  <c r="I26" i="1"/>
  <c r="I39" i="1"/>
  <c r="I71" i="1"/>
  <c r="I49" i="1"/>
  <c r="I101" i="1" l="1"/>
  <c r="L101" i="1" s="1"/>
</calcChain>
</file>

<file path=xl/sharedStrings.xml><?xml version="1.0" encoding="utf-8"?>
<sst xmlns="http://schemas.openxmlformats.org/spreadsheetml/2006/main" count="167" uniqueCount="116">
  <si>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</si>
  <si>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</si>
  <si>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</si>
  <si>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</si>
  <si>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</si>
  <si>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</si>
  <si>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</si>
  <si>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</si>
  <si>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</si>
  <si>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</si>
  <si>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</si>
  <si>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</si>
  <si>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Водосховища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</si>
  <si>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</si>
  <si>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</si>
  <si>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</si>
  <si>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</si>
  <si>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</si>
  <si>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</si>
  <si>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</si>
  <si>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</si>
  <si>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</si>
  <si>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</si>
  <si>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</si>
  <si>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</si>
  <si>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</si>
  <si>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</si>
  <si>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</si>
  <si>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</si>
  <si>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</si>
  <si>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</si>
  <si>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</si>
  <si>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</si>
  <si>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</si>
  <si>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р.Горіхова</t>
  </si>
  <si>
    <t>Новофастівське</t>
  </si>
  <si>
    <t>Сніжнянське</t>
  </si>
  <si>
    <t>р.Роська</t>
  </si>
  <si>
    <t>Животівське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</si>
  <si>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</si>
  <si>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</si>
  <si>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</si>
  <si>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</si>
  <si>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</si>
  <si>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</si>
  <si>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</si>
  <si>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</si>
  <si>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</si>
  <si>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</si>
  <si>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</si>
  <si>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</si>
  <si>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>р.Роставиця</t>
  </si>
  <si>
    <t xml:space="preserve">Чубинське </t>
  </si>
  <si>
    <t xml:space="preserve">Шамраївське </t>
  </si>
  <si>
    <t>р.Кам'янка</t>
  </si>
  <si>
    <t xml:space="preserve">Ковалівське </t>
  </si>
  <si>
    <t>р.Протока</t>
  </si>
  <si>
    <t>р.Узин</t>
  </si>
  <si>
    <t xml:space="preserve">Блощинецьке </t>
  </si>
  <si>
    <t>р.Жигалка</t>
  </si>
  <si>
    <t>р.Гороховатка</t>
  </si>
  <si>
    <t>р.Сущани</t>
  </si>
  <si>
    <t>р.Росава</t>
  </si>
  <si>
    <t>р.Росавка</t>
  </si>
  <si>
    <t>р.Потік</t>
  </si>
  <si>
    <t xml:space="preserve">Водосховище №1 </t>
  </si>
  <si>
    <t xml:space="preserve">Водосховище №2 </t>
  </si>
  <si>
    <t xml:space="preserve">Водосховище №4 </t>
  </si>
  <si>
    <t xml:space="preserve">Водосховище №5 </t>
  </si>
  <si>
    <t xml:space="preserve">Водосховище №7 </t>
  </si>
  <si>
    <t>Водосховище №10</t>
  </si>
  <si>
    <t>Розрахункові екологічні витрати, м³/с</t>
  </si>
  <si>
    <t>Разом по басейну</t>
  </si>
  <si>
    <t>х</t>
  </si>
  <si>
    <t>,</t>
  </si>
  <si>
    <t xml:space="preserve">Матюшівське </t>
  </si>
  <si>
    <t>Скид, м³/с</t>
  </si>
  <si>
    <t>Ксаверівське</t>
  </si>
  <si>
    <t>Зеленьківське</t>
  </si>
  <si>
    <t>Маслівське</t>
  </si>
  <si>
    <t xml:space="preserve"> Карапишівське</t>
  </si>
  <si>
    <t xml:space="preserve">   *                  №11</t>
  </si>
  <si>
    <t xml:space="preserve">   *                  №10-А</t>
  </si>
  <si>
    <t xml:space="preserve">   *                  №12</t>
  </si>
  <si>
    <t xml:space="preserve">Кам'янське                  </t>
  </si>
  <si>
    <t>Басейн  Південний Буг р. Гнилий Тікич</t>
  </si>
  <si>
    <t>Веселокутське</t>
  </si>
  <si>
    <t>Великоберезянське</t>
  </si>
  <si>
    <t>Оратівське/ інформація не оновлена</t>
  </si>
  <si>
    <r>
      <t xml:space="preserve">Оратівське                         / </t>
    </r>
    <r>
      <rPr>
        <sz val="8"/>
        <rFont val="Times New Roman"/>
        <family val="1"/>
        <charset val="204"/>
      </rPr>
      <t>інформація відсутня</t>
    </r>
  </si>
  <si>
    <r>
      <t>Животівське                          /</t>
    </r>
    <r>
      <rPr>
        <sz val="8"/>
        <rFont val="Times New Roman"/>
        <family val="1"/>
        <charset val="204"/>
      </rPr>
      <t xml:space="preserve"> інформація відсутня</t>
    </r>
  </si>
  <si>
    <r>
      <t xml:space="preserve">Медівське                 </t>
    </r>
    <r>
      <rPr>
        <sz val="8"/>
        <rFont val="Times New Roman"/>
        <family val="1"/>
        <charset val="204"/>
      </rPr>
      <t>/інформація відсутня</t>
    </r>
  </si>
  <si>
    <r>
      <t xml:space="preserve">Шарківське                        </t>
    </r>
    <r>
      <rPr>
        <sz val="8"/>
        <rFont val="Times New Roman"/>
        <family val="1"/>
        <charset val="204"/>
      </rPr>
      <t>/ інформація відсутня</t>
    </r>
  </si>
  <si>
    <r>
      <t xml:space="preserve">Потоцьке                                     </t>
    </r>
    <r>
      <rPr>
        <sz val="8"/>
        <rFont val="Times New Roman"/>
        <family val="1"/>
        <charset val="204"/>
      </rPr>
      <t>/ інформація відсутня</t>
    </r>
  </si>
  <si>
    <t>Прибережненське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</si>
  <si>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</si>
  <si>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</si>
  <si>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</si>
  <si>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</si>
  <si>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</si>
  <si>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</si>
  <si>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</si>
  <si>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</si>
  <si>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</si>
  <si>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</si>
  <si>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</si>
  <si>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>Наповнення%</t>
  </si>
  <si>
    <t>Новоживотівське</t>
  </si>
  <si>
    <t xml:space="preserve"> Осичнянське</t>
  </si>
  <si>
    <r>
      <t xml:space="preserve">Водосховище Стави / </t>
    </r>
    <r>
      <rPr>
        <sz val="8"/>
        <rFont val="Times New Roman"/>
        <family val="1"/>
        <charset val="204"/>
      </rPr>
      <t>інформація не відсутня</t>
    </r>
  </si>
  <si>
    <r>
      <t xml:space="preserve">Саливінківське / </t>
    </r>
    <r>
      <rPr>
        <sz val="8"/>
        <rFont val="Times New Roman"/>
        <family val="1"/>
        <charset val="204"/>
      </rPr>
      <t>інформація не оновлена</t>
    </r>
    <r>
      <rPr>
        <sz val="9"/>
        <rFont val="Times New Roman"/>
        <family val="1"/>
        <charset val="204"/>
      </rPr>
      <t xml:space="preserve">                      </t>
    </r>
  </si>
  <si>
    <r>
      <t>Бабинецьке</t>
    </r>
    <r>
      <rPr>
        <sz val="9"/>
        <rFont val="Times New Roman"/>
        <family val="1"/>
        <charset val="204"/>
      </rPr>
      <t xml:space="preserve">                     </t>
    </r>
    <r>
      <rPr>
        <sz val="8"/>
        <rFont val="Times New Roman"/>
        <family val="1"/>
        <charset val="204"/>
      </rPr>
      <t xml:space="preserve">      </t>
    </r>
    <r>
      <rPr>
        <sz val="9"/>
        <rFont val="Times New Roman"/>
        <family val="1"/>
        <charset val="204"/>
      </rPr>
      <t xml:space="preserve">             </t>
    </r>
  </si>
  <si>
    <t>Брилівське</t>
  </si>
  <si>
    <t>Дулицьке</t>
  </si>
  <si>
    <t>Северинівськ</t>
  </si>
  <si>
    <t>станом на 31 січня  2023р.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</si>
</sst>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0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9">
    <xf numFmtId="0" fontId="0" fillId="0" borderId="0" xfId="0"/>
    <xf numFmtId="0" fontId="1" fillId="0" borderId="14" xfId="0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/>
    <xf numFmtId="0" fontId="5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/>
    <xf numFmtId="0" fontId="1" fillId="0" borderId="5" xfId="0" applyFont="1" applyBorder="1"/>
    <xf numFmtId="2" fontId="5" fillId="0" borderId="0" xfId="0" applyNumberFormat="1" applyFont="1"/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0" xfId="0" applyFont="1"/>
    <xf numFmtId="0" fontId="7" fillId="0" borderId="14" xfId="0" applyFont="1" applyBorder="1"/>
    <xf numFmtId="0" fontId="5" fillId="0" borderId="5" xfId="0" applyFont="1" applyBorder="1" applyAlignment="1">
      <alignment horizontal="left"/>
    </xf>
    <xf numFmtId="0" fontId="8" fillId="0" borderId="2" xfId="0" applyFont="1" applyBorder="1"/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8" xfId="0" applyFont="1" applyBorder="1"/>
    <xf numFmtId="0" fontId="8" fillId="0" borderId="0" xfId="0" applyFont="1"/>
    <xf numFmtId="0" fontId="8" fillId="0" borderId="12" xfId="0" applyFont="1" applyBorder="1"/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8" fillId="0" borderId="14" xfId="0" applyFont="1" applyBorder="1"/>
    <xf numFmtId="0" fontId="8" fillId="0" borderId="15" xfId="0" applyFont="1" applyFill="1" applyBorder="1"/>
    <xf numFmtId="2" fontId="8" fillId="0" borderId="13" xfId="0" applyNumberFormat="1" applyFont="1" applyFill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/>
    </xf>
    <xf numFmtId="2" fontId="8" fillId="3" borderId="14" xfId="0" applyNumberFormat="1" applyFont="1" applyFill="1" applyBorder="1" applyAlignment="1">
      <alignment horizontal="center"/>
    </xf>
    <xf numFmtId="1" fontId="8" fillId="3" borderId="14" xfId="0" applyNumberFormat="1" applyFont="1" applyFill="1" applyBorder="1" applyAlignment="1">
      <alignment horizontal="center"/>
    </xf>
    <xf numFmtId="0" fontId="8" fillId="0" borderId="15" xfId="0" applyFont="1" applyBorder="1"/>
    <xf numFmtId="2" fontId="8" fillId="0" borderId="13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1" fontId="8" fillId="0" borderId="14" xfId="0" applyNumberFormat="1" applyFont="1" applyFill="1" applyBorder="1" applyAlignment="1">
      <alignment horizontal="center"/>
    </xf>
    <xf numFmtId="0" fontId="8" fillId="3" borderId="15" xfId="0" applyFont="1" applyFill="1" applyBorder="1"/>
    <xf numFmtId="2" fontId="8" fillId="0" borderId="14" xfId="0" applyNumberFormat="1" applyFont="1" applyBorder="1" applyAlignment="1">
      <alignment horizontal="center"/>
    </xf>
    <xf numFmtId="0" fontId="8" fillId="3" borderId="4" xfId="0" applyFont="1" applyFill="1" applyBorder="1"/>
    <xf numFmtId="2" fontId="8" fillId="0" borderId="3" xfId="0" applyNumberFormat="1" applyFont="1" applyBorder="1" applyAlignment="1">
      <alignment horizontal="center" vertical="center"/>
    </xf>
    <xf numFmtId="2" fontId="8" fillId="2" borderId="14" xfId="0" applyNumberFormat="1" applyFont="1" applyFill="1" applyBorder="1" applyAlignment="1">
      <alignment horizontal="center"/>
    </xf>
    <xf numFmtId="0" fontId="8" fillId="3" borderId="14" xfId="0" applyFont="1" applyFill="1" applyBorder="1" applyAlignment="1">
      <alignment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wrapText="1"/>
    </xf>
    <xf numFmtId="0" fontId="9" fillId="3" borderId="14" xfId="0" applyFont="1" applyFill="1" applyBorder="1" applyAlignment="1">
      <alignment horizontal="center"/>
    </xf>
    <xf numFmtId="2" fontId="9" fillId="3" borderId="14" xfId="0" applyNumberFormat="1" applyFont="1" applyFill="1" applyBorder="1" applyAlignment="1">
      <alignment horizontal="center" vertical="center"/>
    </xf>
    <xf numFmtId="2" fontId="9" fillId="3" borderId="14" xfId="0" applyNumberFormat="1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2" fontId="11" fillId="3" borderId="14" xfId="0" applyNumberFormat="1" applyFont="1" applyFill="1" applyBorder="1" applyAlignment="1">
      <alignment horizontal="center"/>
    </xf>
    <xf numFmtId="1" fontId="4" fillId="3" borderId="14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center" vertical="center"/>
    </xf>
    <xf numFmtId="2" fontId="8" fillId="3" borderId="0" xfId="0" applyNumberFormat="1" applyFont="1" applyFill="1" applyBorder="1"/>
    <xf numFmtId="2" fontId="12" fillId="3" borderId="0" xfId="0" applyNumberFormat="1" applyFont="1" applyFill="1" applyBorder="1"/>
    <xf numFmtId="2" fontId="8" fillId="3" borderId="0" xfId="0" applyNumberFormat="1" applyFont="1" applyFill="1" applyBorder="1" applyAlignment="1">
      <alignment horizontal="center"/>
    </xf>
    <xf numFmtId="1" fontId="8" fillId="3" borderId="0" xfId="0" applyNumberFormat="1" applyFont="1" applyFill="1" applyBorder="1" applyAlignment="1">
      <alignment horizontal="center"/>
    </xf>
    <xf numFmtId="2" fontId="8" fillId="3" borderId="7" xfId="0" applyNumberFormat="1" applyFont="1" applyFill="1" applyBorder="1" applyAlignment="1">
      <alignment horizontal="center"/>
    </xf>
    <xf numFmtId="2" fontId="8" fillId="3" borderId="14" xfId="0" applyNumberFormat="1" applyFont="1" applyFill="1" applyBorder="1" applyAlignment="1">
      <alignment horizontal="center" vertical="center"/>
    </xf>
    <xf numFmtId="0" fontId="8" fillId="3" borderId="14" xfId="0" applyFont="1" applyFill="1" applyBorder="1"/>
    <xf numFmtId="2" fontId="8" fillId="3" borderId="14" xfId="0" applyNumberFormat="1" applyFont="1" applyFill="1" applyBorder="1"/>
    <xf numFmtId="2" fontId="9" fillId="3" borderId="14" xfId="0" applyNumberFormat="1" applyFont="1" applyFill="1" applyBorder="1" applyAlignment="1">
      <alignment vertical="center"/>
    </xf>
    <xf numFmtId="2" fontId="4" fillId="3" borderId="14" xfId="0" applyNumberFormat="1" applyFont="1" applyFill="1" applyBorder="1" applyAlignment="1">
      <alignment vertical="center"/>
    </xf>
    <xf numFmtId="2" fontId="4" fillId="3" borderId="14" xfId="0" applyNumberFormat="1" applyFont="1" applyFill="1" applyBorder="1" applyAlignment="1">
      <alignment horizontal="center" vertical="center"/>
    </xf>
    <xf numFmtId="2" fontId="13" fillId="3" borderId="14" xfId="0" applyNumberFormat="1" applyFont="1" applyFill="1" applyBorder="1" applyAlignment="1">
      <alignment horizontal="center" vertical="center"/>
    </xf>
    <xf numFmtId="1" fontId="4" fillId="3" borderId="14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2" fontId="9" fillId="0" borderId="6" xfId="0" applyNumberFormat="1" applyFont="1" applyBorder="1" applyAlignment="1">
      <alignment horizontal="center" vertical="center"/>
    </xf>
    <xf numFmtId="2" fontId="8" fillId="0" borderId="6" xfId="0" applyNumberFormat="1" applyFont="1" applyBorder="1"/>
    <xf numFmtId="2" fontId="12" fillId="3" borderId="6" xfId="0" applyNumberFormat="1" applyFont="1" applyFill="1" applyBorder="1"/>
    <xf numFmtId="2" fontId="8" fillId="3" borderId="6" xfId="0" applyNumberFormat="1" applyFont="1" applyFill="1" applyBorder="1"/>
    <xf numFmtId="2" fontId="8" fillId="3" borderId="6" xfId="0" applyNumberFormat="1" applyFont="1" applyFill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2" fontId="8" fillId="3" borderId="13" xfId="0" applyNumberFormat="1" applyFont="1" applyFill="1" applyBorder="1" applyAlignment="1">
      <alignment horizontal="center" vertical="center" wrapText="1"/>
    </xf>
    <xf numFmtId="2" fontId="8" fillId="3" borderId="11" xfId="0" applyNumberFormat="1" applyFont="1" applyFill="1" applyBorder="1" applyAlignment="1">
      <alignment horizontal="center"/>
    </xf>
    <xf numFmtId="2" fontId="12" fillId="3" borderId="14" xfId="0" applyNumberFormat="1" applyFont="1" applyFill="1" applyBorder="1" applyAlignment="1">
      <alignment horizontal="center"/>
    </xf>
    <xf numFmtId="2" fontId="8" fillId="3" borderId="6" xfId="0" applyNumberFormat="1" applyFont="1" applyFill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0" fontId="8" fillId="0" borderId="10" xfId="0" applyFont="1" applyFill="1" applyBorder="1"/>
    <xf numFmtId="2" fontId="8" fillId="0" borderId="0" xfId="0" applyNumberFormat="1" applyFont="1" applyFill="1" applyBorder="1" applyAlignment="1">
      <alignment horizontal="center" vertical="center"/>
    </xf>
    <xf numFmtId="0" fontId="8" fillId="0" borderId="4" xfId="0" applyFont="1" applyFill="1" applyBorder="1"/>
    <xf numFmtId="2" fontId="8" fillId="0" borderId="3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14" xfId="0" applyNumberFormat="1" applyFont="1" applyBorder="1" applyAlignment="1">
      <alignment horizontal="center"/>
    </xf>
    <xf numFmtId="2" fontId="13" fillId="3" borderId="14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2" fontId="12" fillId="3" borderId="13" xfId="0" applyNumberFormat="1" applyFont="1" applyFill="1" applyBorder="1" applyAlignment="1">
      <alignment horizontal="center"/>
    </xf>
    <xf numFmtId="2" fontId="8" fillId="3" borderId="13" xfId="0" applyNumberFormat="1" applyFont="1" applyFill="1" applyBorder="1" applyAlignment="1">
      <alignment horizontal="center"/>
    </xf>
    <xf numFmtId="1" fontId="8" fillId="3" borderId="15" xfId="0" applyNumberFormat="1" applyFont="1" applyFill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1" fontId="8" fillId="0" borderId="11" xfId="0" applyNumberFormat="1" applyFont="1" applyFill="1" applyBorder="1" applyAlignment="1">
      <alignment horizontal="center"/>
    </xf>
    <xf numFmtId="0" fontId="8" fillId="3" borderId="10" xfId="0" applyFont="1" applyFill="1" applyBorder="1"/>
    <xf numFmtId="2" fontId="8" fillId="0" borderId="0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1" fontId="8" fillId="0" borderId="14" xfId="0" applyNumberFormat="1" applyFont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0" xfId="0" applyFont="1" applyBorder="1"/>
    <xf numFmtId="0" fontId="8" fillId="0" borderId="14" xfId="0" applyFont="1" applyBorder="1" applyAlignment="1">
      <alignment horizontal="center"/>
    </xf>
    <xf numFmtId="0" fontId="8" fillId="0" borderId="4" xfId="0" applyFont="1" applyBorder="1"/>
    <xf numFmtId="2" fontId="9" fillId="0" borderId="14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2" fontId="9" fillId="0" borderId="5" xfId="0" applyNumberFormat="1" applyFont="1" applyBorder="1" applyAlignment="1">
      <alignment horizontal="center" vertical="center"/>
    </xf>
    <xf numFmtId="2" fontId="12" fillId="3" borderId="6" xfId="0" applyNumberFormat="1" applyFont="1" applyFill="1" applyBorder="1" applyAlignment="1">
      <alignment horizontal="center"/>
    </xf>
    <xf numFmtId="2" fontId="8" fillId="3" borderId="15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wrapText="1"/>
    </xf>
    <xf numFmtId="2" fontId="8" fillId="3" borderId="15" xfId="0" applyNumberFormat="1" applyFont="1" applyFill="1" applyBorder="1" applyAlignment="1">
      <alignment horizontal="center" vertical="center" wrapText="1"/>
    </xf>
    <xf numFmtId="2" fontId="8" fillId="0" borderId="15" xfId="0" applyNumberFormat="1" applyFont="1" applyBorder="1" applyAlignment="1">
      <alignment horizontal="center"/>
    </xf>
    <xf numFmtId="2" fontId="8" fillId="0" borderId="15" xfId="0" applyNumberFormat="1" applyFont="1" applyFill="1" applyBorder="1" applyAlignment="1">
      <alignment horizontal="center"/>
    </xf>
    <xf numFmtId="2" fontId="8" fillId="0" borderId="15" xfId="0" applyNumberFormat="1" applyFont="1" applyBorder="1" applyAlignment="1">
      <alignment horizontal="center" vertical="center"/>
    </xf>
    <xf numFmtId="0" fontId="8" fillId="3" borderId="7" xfId="0" applyFont="1" applyFill="1" applyBorder="1"/>
    <xf numFmtId="2" fontId="8" fillId="0" borderId="7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 vertical="center"/>
    </xf>
    <xf numFmtId="2" fontId="12" fillId="3" borderId="6" xfId="0" applyNumberFormat="1" applyFont="1" applyFill="1" applyBorder="1" applyAlignment="1">
      <alignment horizontal="center" vertical="center" wrapText="1"/>
    </xf>
    <xf numFmtId="2" fontId="8" fillId="3" borderId="6" xfId="0" applyNumberFormat="1" applyFont="1" applyFill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0" fontId="8" fillId="0" borderId="15" xfId="0" applyFont="1" applyBorder="1" applyAlignment="1">
      <alignment wrapText="1"/>
    </xf>
    <xf numFmtId="0" fontId="8" fillId="0" borderId="15" xfId="0" applyFont="1" applyFill="1" applyBorder="1" applyAlignment="1">
      <alignment wrapText="1"/>
    </xf>
    <xf numFmtId="2" fontId="9" fillId="0" borderId="15" xfId="0" applyNumberFormat="1" applyFont="1" applyBorder="1" applyAlignment="1">
      <alignment horizontal="center" vertical="center"/>
    </xf>
    <xf numFmtId="2" fontId="9" fillId="3" borderId="11" xfId="0" applyNumberFormat="1" applyFont="1" applyFill="1" applyBorder="1" applyAlignment="1">
      <alignment horizontal="center"/>
    </xf>
    <xf numFmtId="2" fontId="4" fillId="3" borderId="11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center"/>
    </xf>
    <xf numFmtId="49" fontId="8" fillId="3" borderId="0" xfId="0" applyNumberFormat="1" applyFont="1" applyFill="1" applyBorder="1"/>
    <xf numFmtId="49" fontId="12" fillId="3" borderId="0" xfId="0" applyNumberFormat="1" applyFont="1" applyFill="1" applyBorder="1"/>
    <xf numFmtId="1" fontId="8" fillId="3" borderId="10" xfId="0" applyNumberFormat="1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/>
    <xf numFmtId="0" fontId="8" fillId="0" borderId="14" xfId="0" applyFont="1" applyFill="1" applyBorder="1"/>
    <xf numFmtId="2" fontId="4" fillId="0" borderId="6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/>
    </xf>
    <xf numFmtId="2" fontId="15" fillId="0" borderId="6" xfId="0" applyNumberFormat="1" applyFont="1" applyBorder="1" applyAlignment="1">
      <alignment horizontal="center"/>
    </xf>
    <xf numFmtId="2" fontId="16" fillId="0" borderId="6" xfId="0" applyNumberFormat="1" applyFont="1" applyBorder="1" applyAlignment="1">
      <alignment horizontal="center"/>
    </xf>
    <xf numFmtId="2" fontId="15" fillId="0" borderId="6" xfId="0" applyNumberFormat="1" applyFont="1" applyFill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2" fontId="9" fillId="0" borderId="13" xfId="0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wrapText="1"/>
    </xf>
    <xf numFmtId="2" fontId="15" fillId="0" borderId="14" xfId="0" applyNumberFormat="1" applyFont="1" applyBorder="1" applyAlignment="1">
      <alignment horizontal="center"/>
    </xf>
    <xf numFmtId="2" fontId="10" fillId="0" borderId="14" xfId="0" applyNumberFormat="1" applyFont="1" applyBorder="1" applyAlignment="1">
      <alignment horizontal="center"/>
    </xf>
    <xf numFmtId="0" fontId="8" fillId="0" borderId="14" xfId="0" applyFont="1" applyBorder="1" applyAlignment="1">
      <alignment wrapText="1"/>
    </xf>
    <xf numFmtId="2" fontId="9" fillId="0" borderId="0" xfId="0" applyNumberFormat="1" applyFont="1" applyAlignment="1">
      <alignment horizontal="center" vertical="center"/>
    </xf>
    <xf numFmtId="0" fontId="9" fillId="0" borderId="14" xfId="0" applyFont="1" applyFill="1" applyBorder="1" applyAlignment="1">
      <alignment horizontal="center"/>
    </xf>
    <xf numFmtId="2" fontId="9" fillId="0" borderId="7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9" fillId="0" borderId="7" xfId="0" applyFont="1" applyBorder="1"/>
    <xf numFmtId="1" fontId="4" fillId="0" borderId="14" xfId="1" applyNumberFormat="1" applyFont="1" applyBorder="1" applyAlignment="1">
      <alignment horizontal="center"/>
    </xf>
    <xf numFmtId="164" fontId="10" fillId="0" borderId="14" xfId="0" applyNumberFormat="1" applyFont="1" applyBorder="1" applyAlignment="1">
      <alignment horizontal="center"/>
    </xf>
    <xf numFmtId="1" fontId="10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4" fillId="0" borderId="14" xfId="0" applyFont="1" applyBorder="1"/>
    <xf numFmtId="2" fontId="14" fillId="0" borderId="1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2" fontId="13" fillId="3" borderId="1" xfId="0" applyNumberFormat="1" applyFont="1" applyFill="1" applyBorder="1" applyAlignment="1">
      <alignment horizontal="center"/>
    </xf>
    <xf numFmtId="2" fontId="13" fillId="3" borderId="1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2" fontId="18" fillId="0" borderId="7" xfId="0" applyNumberFormat="1" applyFont="1" applyFill="1" applyBorder="1" applyAlignment="1">
      <alignment horizontal="center" vertical="center"/>
    </xf>
    <xf numFmtId="2" fontId="18" fillId="0" borderId="7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  <xf numFmtId="2" fontId="8" fillId="3" borderId="3" xfId="0" applyNumberFormat="1" applyFont="1" applyFill="1" applyBorder="1" applyAlignment="1">
      <alignment horizontal="center"/>
    </xf>
    <xf numFmtId="2" fontId="19" fillId="3" borderId="14" xfId="0" applyNumberFormat="1" applyFont="1" applyFill="1" applyBorder="1" applyAlignment="1">
      <alignment horizontal="center"/>
    </xf>
    <xf numFmtId="2" fontId="8" fillId="3" borderId="2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2" fontId="8" fillId="0" borderId="6" xfId="0" applyNumberFormat="1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/>
    </xf>
    <xf numFmtId="2" fontId="19" fillId="0" borderId="7" xfId="0" applyNumberFormat="1" applyFont="1" applyFill="1" applyBorder="1" applyAlignment="1">
      <alignment horizontal="center" vertical="center" wrapText="1"/>
    </xf>
    <xf numFmtId="2" fontId="19" fillId="3" borderId="7" xfId="0" applyNumberFormat="1" applyFont="1" applyFill="1" applyBorder="1" applyAlignment="1">
      <alignment horizontal="center"/>
    </xf>
    <xf numFmtId="0" fontId="20" fillId="3" borderId="14" xfId="0" applyFont="1" applyFill="1" applyBorder="1" applyAlignment="1">
      <alignment horizontal="left" wrapText="1"/>
    </xf>
    <xf numFmtId="2" fontId="20" fillId="3" borderId="15" xfId="0" applyNumberFormat="1" applyFont="1" applyFill="1" applyBorder="1" applyAlignment="1">
      <alignment horizontal="center" vertical="center"/>
    </xf>
    <xf numFmtId="2" fontId="20" fillId="3" borderId="15" xfId="0" applyNumberFormat="1" applyFont="1" applyFill="1" applyBorder="1" applyAlignment="1">
      <alignment horizontal="center"/>
    </xf>
    <xf numFmtId="2" fontId="20" fillId="3" borderId="14" xfId="0" applyNumberFormat="1" applyFont="1" applyFill="1" applyBorder="1" applyAlignment="1">
      <alignment horizontal="center"/>
    </xf>
    <xf numFmtId="1" fontId="20" fillId="0" borderId="14" xfId="0" applyNumberFormat="1" applyFont="1" applyBorder="1" applyAlignment="1">
      <alignment horizontal="center"/>
    </xf>
    <xf numFmtId="2" fontId="8" fillId="0" borderId="14" xfId="0" quotePrefix="1" applyNumberFormat="1" applyFont="1" applyBorder="1" applyAlignment="1">
      <alignment horizontal="center" vertical="center"/>
    </xf>
    <xf numFmtId="2" fontId="12" fillId="3" borderId="13" xfId="0" applyNumberFormat="1" applyFont="1" applyFill="1" applyBorder="1" applyAlignment="1">
      <alignment horizontal="center" vertical="center"/>
    </xf>
    <xf numFmtId="2" fontId="15" fillId="0" borderId="6" xfId="0" applyNumberFormat="1" applyFont="1" applyBorder="1" applyAlignment="1">
      <alignment horizontal="center" vertical="center"/>
    </xf>
    <xf numFmtId="2" fontId="16" fillId="3" borderId="6" xfId="0" applyNumberFormat="1" applyFont="1" applyFill="1" applyBorder="1" applyAlignment="1">
      <alignment horizontal="center" vertical="center"/>
    </xf>
    <xf numFmtId="2" fontId="15" fillId="0" borderId="6" xfId="0" applyNumberFormat="1" applyFont="1" applyFill="1" applyBorder="1" applyAlignment="1">
      <alignment horizontal="center" vertical="center"/>
    </xf>
    <xf numFmtId="2" fontId="15" fillId="0" borderId="14" xfId="0" applyNumberFormat="1" applyFont="1" applyBorder="1" applyAlignment="1">
      <alignment horizontal="center" vertical="center"/>
    </xf>
    <xf numFmtId="2" fontId="12" fillId="0" borderId="6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2" fontId="18" fillId="3" borderId="7" xfId="0" applyNumberFormat="1" applyFont="1" applyFill="1" applyBorder="1" applyAlignment="1">
      <alignment horizontal="center" vertical="center"/>
    </xf>
    <xf numFmtId="2" fontId="18" fillId="3" borderId="14" xfId="0" applyNumberFormat="1" applyFont="1" applyFill="1" applyBorder="1" applyAlignment="1">
      <alignment horizontal="center" vertical="center"/>
    </xf>
    <xf numFmtId="2" fontId="9" fillId="3" borderId="7" xfId="0" applyNumberFormat="1" applyFont="1" applyFill="1" applyBorder="1" applyAlignment="1">
      <alignment horizontal="center" vertical="center"/>
    </xf>
    <xf numFmtId="2" fontId="11" fillId="3" borderId="14" xfId="0" applyNumberFormat="1" applyFont="1" applyFill="1" applyBorder="1" applyAlignment="1">
      <alignment horizontal="center" vertical="center"/>
    </xf>
    <xf numFmtId="1" fontId="9" fillId="3" borderId="14" xfId="0" applyNumberFormat="1" applyFont="1" applyFill="1" applyBorder="1" applyAlignment="1">
      <alignment horizontal="center" vertical="center"/>
    </xf>
    <xf numFmtId="2" fontId="12" fillId="3" borderId="6" xfId="0" applyNumberFormat="1" applyFont="1" applyFill="1" applyBorder="1" applyAlignment="1">
      <alignment horizontal="center" vertical="center"/>
    </xf>
    <xf numFmtId="1" fontId="8" fillId="3" borderId="7" xfId="0" applyNumberFormat="1" applyFont="1" applyFill="1" applyBorder="1" applyAlignment="1">
      <alignment horizontal="center" vertical="center"/>
    </xf>
    <xf numFmtId="9" fontId="8" fillId="3" borderId="14" xfId="2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2" fontId="8" fillId="3" borderId="8" xfId="0" applyNumberFormat="1" applyFont="1" applyFill="1" applyBorder="1" applyAlignment="1">
      <alignment horizontal="center" vertical="center"/>
    </xf>
    <xf numFmtId="2" fontId="12" fillId="0" borderId="14" xfId="0" applyNumberFormat="1" applyFont="1" applyBorder="1" applyAlignment="1">
      <alignment horizontal="center" vertical="center"/>
    </xf>
    <xf numFmtId="2" fontId="23" fillId="3" borderId="14" xfId="0" applyNumberFormat="1" applyFont="1" applyFill="1" applyBorder="1" applyAlignment="1">
      <alignment horizontal="center" vertical="center"/>
    </xf>
    <xf numFmtId="1" fontId="23" fillId="3" borderId="14" xfId="0" applyNumberFormat="1" applyFont="1" applyFill="1" applyBorder="1" applyAlignment="1">
      <alignment horizontal="center" vertical="center"/>
    </xf>
    <xf numFmtId="164" fontId="23" fillId="3" borderId="14" xfId="0" applyNumberFormat="1" applyFont="1" applyFill="1" applyBorder="1" applyAlignment="1">
      <alignment horizontal="center" vertical="center"/>
    </xf>
    <xf numFmtId="2" fontId="23" fillId="3" borderId="14" xfId="0" applyNumberFormat="1" applyFont="1" applyFill="1" applyBorder="1" applyAlignment="1">
      <alignment horizontal="center"/>
    </xf>
    <xf numFmtId="164" fontId="23" fillId="3" borderId="14" xfId="0" applyNumberFormat="1" applyFont="1" applyFill="1" applyBorder="1" applyAlignment="1">
      <alignment horizontal="center"/>
    </xf>
    <xf numFmtId="1" fontId="23" fillId="3" borderId="14" xfId="0" applyNumberFormat="1" applyFont="1" applyFill="1" applyBorder="1" applyAlignment="1">
      <alignment horizontal="center"/>
    </xf>
    <xf numFmtId="2" fontId="23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9"/>
  <sheetViews>
    <sheetView tabSelected="1" topLeftCell="A97" zoomScale="140" zoomScaleNormal="140" workbookViewId="0">
      <selection activeCell="C108" sqref="C108"/>
    </sheetView>
  </sheetViews>
  <sheetFormatPr defaultColWidth="9.140625" defaultRowHeight="15" x14ac:dyDescent="0.25"/>
  <cols>
    <col min="1" max="1" width="3.5703125" style="8" customWidth="1"/>
    <col min="2" max="2" width="19" style="8" customWidth="1"/>
    <col min="3" max="3" width="6.42578125" style="8" customWidth="1"/>
    <col min="4" max="4" width="6.5703125" style="8" customWidth="1"/>
    <col min="5" max="5" width="7" style="8" customWidth="1"/>
    <col min="6" max="6" width="7.42578125" style="8" customWidth="1"/>
    <col min="7" max="7" width="6.42578125" style="8" customWidth="1"/>
    <col min="8" max="8" width="6.85546875" style="8" customWidth="1"/>
    <col min="9" max="9" width="6.42578125" style="8" customWidth="1"/>
    <col min="10" max="10" width="6.5703125" style="8" customWidth="1"/>
    <col min="11" max="11" width="5.28515625" style="8" customWidth="1"/>
    <col min="12" max="12" width="5.7109375" style="8" customWidth="1"/>
    <col min="13" max="13" width="10.5703125" style="8" customWidth="1"/>
    <col min="14" max="16384" width="9.140625" style="8"/>
  </cols>
  <sheetData>
    <row r="1" spans="1:15" x14ac:dyDescent="0.25">
      <c r="A1" s="7"/>
      <c r="B1" s="244" t="s">
        <v>0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</row>
    <row r="2" spans="1:15" ht="12" customHeight="1" x14ac:dyDescent="0.25">
      <c r="A2" s="7"/>
      <c r="B2" s="244" t="s">
        <v>1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</row>
    <row r="3" spans="1:15" ht="15.75" customHeight="1" x14ac:dyDescent="0.25">
      <c r="A3" s="7"/>
      <c r="B3" s="245" t="s">
        <v>115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</row>
    <row r="4" spans="1:15" ht="14.25" customHeight="1" x14ac:dyDescent="0.25">
      <c r="A4" s="9"/>
      <c r="B4" s="20"/>
      <c r="C4" s="246" t="s">
        <v>2</v>
      </c>
      <c r="D4" s="247"/>
      <c r="E4" s="248"/>
      <c r="F4" s="249" t="s">
        <v>3</v>
      </c>
      <c r="G4" s="250"/>
      <c r="H4" s="251"/>
      <c r="I4" s="251"/>
      <c r="J4" s="251"/>
      <c r="K4" s="252"/>
      <c r="L4" s="256" t="s">
        <v>106</v>
      </c>
      <c r="M4" s="253" t="s">
        <v>71</v>
      </c>
    </row>
    <row r="5" spans="1:15" ht="12" customHeight="1" x14ac:dyDescent="0.25">
      <c r="A5" s="10"/>
      <c r="B5" s="21"/>
      <c r="C5" s="22" t="s">
        <v>4</v>
      </c>
      <c r="D5" s="23" t="s">
        <v>5</v>
      </c>
      <c r="E5" s="23" t="s">
        <v>6</v>
      </c>
      <c r="F5" s="24" t="s">
        <v>7</v>
      </c>
      <c r="G5" s="25" t="s">
        <v>8</v>
      </c>
      <c r="H5" s="23" t="s">
        <v>9</v>
      </c>
      <c r="I5" s="24" t="s">
        <v>10</v>
      </c>
      <c r="J5" s="23" t="s">
        <v>11</v>
      </c>
      <c r="K5" s="256" t="s">
        <v>76</v>
      </c>
      <c r="L5" s="257"/>
      <c r="M5" s="254"/>
    </row>
    <row r="6" spans="1:15" ht="8.25" customHeight="1" x14ac:dyDescent="0.25">
      <c r="A6" s="10"/>
      <c r="B6" s="21" t="s">
        <v>12</v>
      </c>
      <c r="C6" s="21"/>
      <c r="D6" s="26"/>
      <c r="E6" s="27" t="s">
        <v>13</v>
      </c>
      <c r="F6" s="24" t="s">
        <v>14</v>
      </c>
      <c r="G6" s="27" t="s">
        <v>15</v>
      </c>
      <c r="H6" s="27" t="s">
        <v>16</v>
      </c>
      <c r="I6" s="24"/>
      <c r="J6" s="28" t="s">
        <v>17</v>
      </c>
      <c r="K6" s="257"/>
      <c r="L6" s="257"/>
      <c r="M6" s="254"/>
    </row>
    <row r="7" spans="1:15" ht="9" customHeight="1" x14ac:dyDescent="0.25">
      <c r="A7" s="10"/>
      <c r="B7" s="21"/>
      <c r="C7" s="21"/>
      <c r="D7" s="26"/>
      <c r="E7" s="29"/>
      <c r="F7" s="24" t="s">
        <v>15</v>
      </c>
      <c r="G7" s="27"/>
      <c r="H7" s="29"/>
      <c r="I7" s="30"/>
      <c r="J7" s="27"/>
      <c r="K7" s="257"/>
      <c r="L7" s="257"/>
      <c r="M7" s="254"/>
    </row>
    <row r="8" spans="1:15" ht="9" customHeight="1" x14ac:dyDescent="0.25">
      <c r="A8" s="12"/>
      <c r="B8" s="31"/>
      <c r="C8" s="31" t="s">
        <v>18</v>
      </c>
      <c r="D8" s="32" t="s">
        <v>19</v>
      </c>
      <c r="E8" s="33" t="s">
        <v>20</v>
      </c>
      <c r="F8" s="34" t="s">
        <v>19</v>
      </c>
      <c r="G8" s="33" t="s">
        <v>19</v>
      </c>
      <c r="H8" s="33" t="s">
        <v>20</v>
      </c>
      <c r="I8" s="24" t="s">
        <v>20</v>
      </c>
      <c r="J8" s="33" t="s">
        <v>21</v>
      </c>
      <c r="K8" s="258"/>
      <c r="L8" s="258"/>
      <c r="M8" s="255"/>
    </row>
    <row r="9" spans="1:15" ht="10.5" customHeight="1" x14ac:dyDescent="0.3">
      <c r="A9" s="9">
        <v>1</v>
      </c>
      <c r="B9" s="192">
        <v>2</v>
      </c>
      <c r="C9" s="192">
        <v>3</v>
      </c>
      <c r="D9" s="192">
        <v>4</v>
      </c>
      <c r="E9" s="192">
        <v>5</v>
      </c>
      <c r="F9" s="192">
        <v>6</v>
      </c>
      <c r="G9" s="193">
        <v>7</v>
      </c>
      <c r="H9" s="192">
        <v>8</v>
      </c>
      <c r="I9" s="192">
        <v>9</v>
      </c>
      <c r="J9" s="192">
        <v>10</v>
      </c>
      <c r="K9" s="192">
        <v>11</v>
      </c>
      <c r="L9" s="192">
        <v>12</v>
      </c>
      <c r="M9" s="192">
        <v>13</v>
      </c>
    </row>
    <row r="10" spans="1:15" ht="9.75" customHeight="1" x14ac:dyDescent="0.25">
      <c r="A10" s="13"/>
      <c r="B10" s="35" t="s">
        <v>22</v>
      </c>
      <c r="C10" s="36"/>
      <c r="D10" s="37"/>
      <c r="E10" s="37"/>
      <c r="F10" s="37"/>
      <c r="G10" s="37"/>
      <c r="H10" s="37"/>
      <c r="I10" s="37"/>
      <c r="J10" s="37"/>
      <c r="K10" s="37"/>
      <c r="L10" s="38"/>
      <c r="M10" s="39"/>
    </row>
    <row r="11" spans="1:15" x14ac:dyDescent="0.25">
      <c r="A11" s="1">
        <v>1</v>
      </c>
      <c r="B11" s="40" t="s">
        <v>23</v>
      </c>
      <c r="C11" s="41">
        <v>315.79399999999998</v>
      </c>
      <c r="D11" s="42">
        <v>177</v>
      </c>
      <c r="E11" s="42">
        <v>8.24</v>
      </c>
      <c r="F11" s="42">
        <v>177</v>
      </c>
      <c r="G11" s="42">
        <v>176.95</v>
      </c>
      <c r="H11" s="43">
        <f>(D11-G11)*3.15</f>
        <v>0.15750000000003581</v>
      </c>
      <c r="I11" s="43">
        <f>E11-H11</f>
        <v>8.082499999999964</v>
      </c>
      <c r="J11" s="43">
        <v>0.83</v>
      </c>
      <c r="K11" s="43">
        <f t="shared" ref="K11:K19" si="0">J11</f>
        <v>0.83</v>
      </c>
      <c r="L11" s="44">
        <f>(E11-H11)/E11*100</f>
        <v>98.08859223300928</v>
      </c>
      <c r="M11" s="42">
        <v>0.35</v>
      </c>
      <c r="N11" s="3"/>
      <c r="O11" s="3"/>
    </row>
    <row r="12" spans="1:15" x14ac:dyDescent="0.25">
      <c r="A12" s="1">
        <v>2</v>
      </c>
      <c r="B12" s="45" t="s">
        <v>24</v>
      </c>
      <c r="C12" s="46">
        <v>120</v>
      </c>
      <c r="D12" s="42">
        <v>167.5</v>
      </c>
      <c r="E12" s="42">
        <v>3.44</v>
      </c>
      <c r="F12" s="42">
        <v>167.5</v>
      </c>
      <c r="G12" s="42">
        <v>167.52</v>
      </c>
      <c r="H12" s="43">
        <v>0</v>
      </c>
      <c r="I12" s="43">
        <f t="shared" ref="I12:I20" si="1">E12-H12</f>
        <v>3.44</v>
      </c>
      <c r="J12" s="43">
        <v>1.3</v>
      </c>
      <c r="K12" s="43">
        <f t="shared" si="0"/>
        <v>1.3</v>
      </c>
      <c r="L12" s="44">
        <f t="shared" ref="L12:L19" si="2">(E12-H12)/E12*100</f>
        <v>100</v>
      </c>
      <c r="M12" s="42">
        <v>0.8</v>
      </c>
      <c r="N12" s="3"/>
      <c r="O12" s="3"/>
    </row>
    <row r="13" spans="1:15" x14ac:dyDescent="0.25">
      <c r="A13" s="1">
        <v>3</v>
      </c>
      <c r="B13" s="38" t="s">
        <v>25</v>
      </c>
      <c r="C13" s="47">
        <v>220</v>
      </c>
      <c r="D13" s="42">
        <v>164</v>
      </c>
      <c r="E13" s="42">
        <v>1.5</v>
      </c>
      <c r="F13" s="42">
        <v>164</v>
      </c>
      <c r="G13" s="42">
        <v>163.97</v>
      </c>
      <c r="H13" s="43">
        <f>(D13-G13)*2.2</f>
        <v>6.6000000000002501E-2</v>
      </c>
      <c r="I13" s="43">
        <f t="shared" si="1"/>
        <v>1.4339999999999975</v>
      </c>
      <c r="J13" s="43">
        <v>1.6</v>
      </c>
      <c r="K13" s="43">
        <f t="shared" si="0"/>
        <v>1.6</v>
      </c>
      <c r="L13" s="48">
        <f t="shared" si="2"/>
        <v>95.599999999999824</v>
      </c>
      <c r="M13" s="42">
        <v>0.95</v>
      </c>
      <c r="N13" s="3"/>
      <c r="O13" s="3"/>
    </row>
    <row r="14" spans="1:15" x14ac:dyDescent="0.25">
      <c r="A14" s="1">
        <v>4</v>
      </c>
      <c r="B14" s="38" t="s">
        <v>26</v>
      </c>
      <c r="C14" s="47">
        <v>538.41999999999996</v>
      </c>
      <c r="D14" s="42">
        <v>157.5</v>
      </c>
      <c r="E14" s="42">
        <v>16.96</v>
      </c>
      <c r="F14" s="42">
        <v>157.5</v>
      </c>
      <c r="G14" s="42">
        <v>157.62</v>
      </c>
      <c r="H14" s="43">
        <v>0</v>
      </c>
      <c r="I14" s="43">
        <f t="shared" si="1"/>
        <v>16.96</v>
      </c>
      <c r="J14" s="43">
        <v>9</v>
      </c>
      <c r="K14" s="43">
        <f t="shared" si="0"/>
        <v>9</v>
      </c>
      <c r="L14" s="48">
        <f>(E14-H14)/E14*100</f>
        <v>100</v>
      </c>
      <c r="M14" s="42">
        <v>1.5</v>
      </c>
      <c r="N14" s="3"/>
      <c r="O14" s="3"/>
    </row>
    <row r="15" spans="1:15" x14ac:dyDescent="0.25">
      <c r="A15" s="1">
        <v>5</v>
      </c>
      <c r="B15" s="38" t="s">
        <v>27</v>
      </c>
      <c r="C15" s="47">
        <v>165</v>
      </c>
      <c r="D15" s="42">
        <v>144.4</v>
      </c>
      <c r="E15" s="42">
        <v>2.42</v>
      </c>
      <c r="F15" s="42">
        <v>144.4</v>
      </c>
      <c r="G15" s="42">
        <v>144.4</v>
      </c>
      <c r="H15" s="43">
        <f>(D15-G15)*1.65</f>
        <v>0</v>
      </c>
      <c r="I15" s="43">
        <f t="shared" si="1"/>
        <v>2.42</v>
      </c>
      <c r="J15" s="43">
        <v>9</v>
      </c>
      <c r="K15" s="43">
        <f t="shared" si="0"/>
        <v>9</v>
      </c>
      <c r="L15" s="44">
        <f t="shared" si="2"/>
        <v>100</v>
      </c>
      <c r="M15" s="42">
        <v>1.7</v>
      </c>
      <c r="N15" s="3"/>
      <c r="O15" s="3"/>
    </row>
    <row r="16" spans="1:15" x14ac:dyDescent="0.25">
      <c r="A16" s="1">
        <v>6</v>
      </c>
      <c r="B16" s="38" t="s">
        <v>28</v>
      </c>
      <c r="C16" s="47">
        <v>71</v>
      </c>
      <c r="D16" s="42">
        <v>142.75</v>
      </c>
      <c r="E16" s="42">
        <v>1.56</v>
      </c>
      <c r="F16" s="42">
        <v>142.75</v>
      </c>
      <c r="G16" s="42">
        <v>142.75</v>
      </c>
      <c r="H16" s="43">
        <f>(D16-G16)*710000/1000000</f>
        <v>0</v>
      </c>
      <c r="I16" s="43">
        <f t="shared" si="1"/>
        <v>1.56</v>
      </c>
      <c r="J16" s="43">
        <v>9</v>
      </c>
      <c r="K16" s="43">
        <f t="shared" si="0"/>
        <v>9</v>
      </c>
      <c r="L16" s="48">
        <f t="shared" si="2"/>
        <v>100</v>
      </c>
      <c r="M16" s="42">
        <v>1.8</v>
      </c>
      <c r="N16" s="3"/>
      <c r="O16" s="3"/>
    </row>
    <row r="17" spans="1:15" x14ac:dyDescent="0.25">
      <c r="A17" s="1">
        <v>7</v>
      </c>
      <c r="B17" s="49" t="s">
        <v>29</v>
      </c>
      <c r="C17" s="46">
        <v>327</v>
      </c>
      <c r="D17" s="50">
        <v>131.6</v>
      </c>
      <c r="E17" s="50">
        <v>3.27</v>
      </c>
      <c r="F17" s="50">
        <v>131.6</v>
      </c>
      <c r="G17" s="42">
        <v>131.55000000000001</v>
      </c>
      <c r="H17" s="43">
        <f>(D17-G17)*3270000/1000000</f>
        <v>0.16349999999994425</v>
      </c>
      <c r="I17" s="43">
        <f t="shared" si="1"/>
        <v>3.1065000000000556</v>
      </c>
      <c r="J17" s="43">
        <v>4.0999999999999996</v>
      </c>
      <c r="K17" s="43">
        <f t="shared" si="0"/>
        <v>4.0999999999999996</v>
      </c>
      <c r="L17" s="44">
        <f t="shared" si="2"/>
        <v>95.000000000001691</v>
      </c>
      <c r="M17" s="50">
        <v>2.25</v>
      </c>
      <c r="N17" s="4"/>
      <c r="O17" s="3"/>
    </row>
    <row r="18" spans="1:15" x14ac:dyDescent="0.25">
      <c r="A18" s="1">
        <v>8</v>
      </c>
      <c r="B18" s="51" t="s">
        <v>30</v>
      </c>
      <c r="C18" s="52">
        <v>70</v>
      </c>
      <c r="D18" s="50">
        <v>127.4</v>
      </c>
      <c r="E18" s="50">
        <v>1.75</v>
      </c>
      <c r="F18" s="53">
        <v>127.4</v>
      </c>
      <c r="G18" s="42">
        <v>127.34</v>
      </c>
      <c r="H18" s="43">
        <f>(D18-G18)*700000/1000000</f>
        <v>4.2000000000001592E-2</v>
      </c>
      <c r="I18" s="43">
        <f t="shared" si="1"/>
        <v>1.7079999999999984</v>
      </c>
      <c r="J18" s="43">
        <v>6.5</v>
      </c>
      <c r="K18" s="43">
        <f t="shared" si="0"/>
        <v>6.5</v>
      </c>
      <c r="L18" s="48">
        <f>I18/E18*100</f>
        <v>97.599999999999909</v>
      </c>
      <c r="M18" s="50">
        <v>2.2999999999999998</v>
      </c>
      <c r="N18" s="4"/>
      <c r="O18" s="3"/>
    </row>
    <row r="19" spans="1:15" x14ac:dyDescent="0.25">
      <c r="A19" s="1">
        <v>9</v>
      </c>
      <c r="B19" s="54" t="s">
        <v>31</v>
      </c>
      <c r="C19" s="55">
        <v>638</v>
      </c>
      <c r="D19" s="50">
        <v>113.9</v>
      </c>
      <c r="E19" s="50">
        <v>15.7</v>
      </c>
      <c r="F19" s="53">
        <v>113.9</v>
      </c>
      <c r="G19" s="42">
        <v>113.92</v>
      </c>
      <c r="H19" s="43">
        <v>0</v>
      </c>
      <c r="I19" s="43">
        <f t="shared" si="1"/>
        <v>15.7</v>
      </c>
      <c r="J19" s="43">
        <v>4.5</v>
      </c>
      <c r="K19" s="43">
        <f t="shared" si="0"/>
        <v>4.5</v>
      </c>
      <c r="L19" s="48">
        <f t="shared" si="2"/>
        <v>100</v>
      </c>
      <c r="M19" s="53">
        <v>2.4500000000000002</v>
      </c>
      <c r="N19" s="4"/>
      <c r="O19" s="3"/>
    </row>
    <row r="20" spans="1:15" ht="17.25" customHeight="1" x14ac:dyDescent="0.25">
      <c r="A20" s="1">
        <v>10</v>
      </c>
      <c r="B20" s="54" t="s">
        <v>32</v>
      </c>
      <c r="C20" s="56">
        <v>170</v>
      </c>
      <c r="D20" s="50">
        <v>99.81</v>
      </c>
      <c r="E20" s="50">
        <v>3.75</v>
      </c>
      <c r="F20" s="50">
        <v>99.81</v>
      </c>
      <c r="G20" s="42">
        <v>99.79</v>
      </c>
      <c r="H20" s="43">
        <f>(D20-G20)*1700000/1000000</f>
        <v>3.399999999999323E-2</v>
      </c>
      <c r="I20" s="43">
        <f t="shared" si="1"/>
        <v>3.7160000000000069</v>
      </c>
      <c r="J20" s="43">
        <v>6</v>
      </c>
      <c r="K20" s="43">
        <f>J20</f>
        <v>6</v>
      </c>
      <c r="L20" s="48">
        <f>(E20-H20)/E20*100</f>
        <v>99.093333333333504</v>
      </c>
      <c r="M20" s="53">
        <v>2.5</v>
      </c>
      <c r="N20" s="4"/>
      <c r="O20" s="3"/>
    </row>
    <row r="21" spans="1:15" x14ac:dyDescent="0.25">
      <c r="A21" s="1"/>
      <c r="B21" s="57" t="s">
        <v>33</v>
      </c>
      <c r="C21" s="58"/>
      <c r="D21" s="59"/>
      <c r="E21" s="60">
        <f>SUM(E11:E20)</f>
        <v>58.59</v>
      </c>
      <c r="F21" s="59"/>
      <c r="G21" s="61"/>
      <c r="H21" s="60">
        <f>SUM(H11:H20)</f>
        <v>0.46299999999997743</v>
      </c>
      <c r="I21" s="60">
        <f>SUM(I11:I20)</f>
        <v>58.127000000000024</v>
      </c>
      <c r="J21" s="59"/>
      <c r="K21" s="59"/>
      <c r="L21" s="62">
        <f>AVERAGE(L11:L20)</f>
        <v>98.538192556634414</v>
      </c>
      <c r="M21" s="59"/>
      <c r="O21" s="14"/>
    </row>
    <row r="22" spans="1:15" x14ac:dyDescent="0.25">
      <c r="A22" s="11"/>
      <c r="B22" s="63" t="s">
        <v>34</v>
      </c>
      <c r="C22" s="64"/>
      <c r="D22" s="65"/>
      <c r="E22" s="65"/>
      <c r="F22" s="65"/>
      <c r="G22" s="66"/>
      <c r="H22" s="65"/>
      <c r="I22" s="65"/>
      <c r="J22" s="67"/>
      <c r="K22" s="67"/>
      <c r="L22" s="68"/>
      <c r="M22" s="69"/>
    </row>
    <row r="23" spans="1:15" x14ac:dyDescent="0.25">
      <c r="A23" s="1">
        <v>11</v>
      </c>
      <c r="B23" s="54" t="s">
        <v>111</v>
      </c>
      <c r="C23" s="70">
        <v>107</v>
      </c>
      <c r="D23" s="70">
        <v>199.3</v>
      </c>
      <c r="E23" s="70">
        <v>1.4</v>
      </c>
      <c r="F23" s="70">
        <v>199.3</v>
      </c>
      <c r="G23" s="70">
        <v>198.7</v>
      </c>
      <c r="H23" s="70">
        <f>(D23-G23)*1100000/1000000</f>
        <v>0.66000000000002501</v>
      </c>
      <c r="I23" s="70">
        <f>E23-H23</f>
        <v>0.7399999999999749</v>
      </c>
      <c r="J23" s="70">
        <v>0.03</v>
      </c>
      <c r="K23" s="70">
        <v>0.03</v>
      </c>
      <c r="L23" s="196">
        <f>(E23-H23)/E23*100</f>
        <v>52.857142857141071</v>
      </c>
      <c r="M23" s="70">
        <v>0.05</v>
      </c>
    </row>
    <row r="24" spans="1:15" x14ac:dyDescent="0.25">
      <c r="A24" s="1">
        <v>12</v>
      </c>
      <c r="B24" s="71" t="s">
        <v>35</v>
      </c>
      <c r="C24" s="70">
        <v>110</v>
      </c>
      <c r="D24" s="70">
        <v>201.5</v>
      </c>
      <c r="E24" s="43">
        <v>1.52</v>
      </c>
      <c r="F24" s="43">
        <v>201.5</v>
      </c>
      <c r="G24" s="43">
        <v>200.9</v>
      </c>
      <c r="H24" s="43">
        <f>(D24-G24)*1100000/1000000</f>
        <v>0.6599999999999937</v>
      </c>
      <c r="I24" s="43">
        <f>E24-H24</f>
        <v>0.86000000000000631</v>
      </c>
      <c r="J24" s="43">
        <v>0.02</v>
      </c>
      <c r="K24" s="43">
        <v>0.02</v>
      </c>
      <c r="L24" s="44">
        <f>(E24-H24)/E24*100</f>
        <v>56.578947368421474</v>
      </c>
      <c r="M24" s="43">
        <v>0.05</v>
      </c>
    </row>
    <row r="25" spans="1:15" x14ac:dyDescent="0.25">
      <c r="A25" s="1">
        <v>13</v>
      </c>
      <c r="B25" s="71" t="s">
        <v>36</v>
      </c>
      <c r="C25" s="70">
        <v>110</v>
      </c>
      <c r="D25" s="72"/>
      <c r="E25" s="43">
        <v>1.5</v>
      </c>
      <c r="F25" s="72"/>
      <c r="G25" s="43">
        <v>-1.8</v>
      </c>
      <c r="H25" s="43">
        <v>1.3</v>
      </c>
      <c r="I25" s="43">
        <f>E25-H25</f>
        <v>0.19999999999999996</v>
      </c>
      <c r="J25" s="43">
        <v>0</v>
      </c>
      <c r="K25" s="43">
        <f t="shared" ref="K25" si="3">J25</f>
        <v>0</v>
      </c>
      <c r="L25" s="44">
        <f>I25/E25*100</f>
        <v>13.33333333333333</v>
      </c>
      <c r="M25" s="43">
        <v>0.01</v>
      </c>
    </row>
    <row r="26" spans="1:15" x14ac:dyDescent="0.25">
      <c r="A26" s="1"/>
      <c r="B26" s="57" t="s">
        <v>33</v>
      </c>
      <c r="C26" s="73"/>
      <c r="D26" s="74"/>
      <c r="E26" s="75">
        <f>SUM(E23:E25)</f>
        <v>4.42</v>
      </c>
      <c r="F26" s="75"/>
      <c r="G26" s="76"/>
      <c r="H26" s="75">
        <f>SUM(H23:H25)</f>
        <v>2.6200000000000188</v>
      </c>
      <c r="I26" s="75">
        <f>SUM(I23:I25)</f>
        <v>1.7999999999999812</v>
      </c>
      <c r="J26" s="75"/>
      <c r="K26" s="75"/>
      <c r="L26" s="77">
        <f>AVERAGE(L23:L25)</f>
        <v>40.923141186298622</v>
      </c>
      <c r="M26" s="74"/>
    </row>
    <row r="27" spans="1:15" x14ac:dyDescent="0.25">
      <c r="A27" s="1"/>
      <c r="B27" s="78" t="s">
        <v>37</v>
      </c>
      <c r="C27" s="79"/>
      <c r="D27" s="80"/>
      <c r="E27" s="80"/>
      <c r="F27" s="80"/>
      <c r="G27" s="81"/>
      <c r="H27" s="82"/>
      <c r="I27" s="83"/>
      <c r="J27" s="83"/>
      <c r="K27" s="83"/>
      <c r="L27" s="84"/>
      <c r="M27" s="50"/>
    </row>
    <row r="28" spans="1:15" ht="24.6" hidden="1" x14ac:dyDescent="0.3">
      <c r="A28" s="6">
        <v>14</v>
      </c>
      <c r="B28" s="54" t="s">
        <v>88</v>
      </c>
      <c r="C28" s="85">
        <v>72</v>
      </c>
      <c r="D28" s="86">
        <v>214.9</v>
      </c>
      <c r="E28" s="42">
        <v>1.02</v>
      </c>
      <c r="F28" s="43">
        <v>214.9</v>
      </c>
      <c r="G28" s="87">
        <v>214.75</v>
      </c>
      <c r="H28" s="43">
        <f>(D28-G28)*720000/1000000</f>
        <v>0.10800000000000409</v>
      </c>
      <c r="I28" s="43">
        <f>E28-H28</f>
        <v>0.91199999999999593</v>
      </c>
      <c r="J28" s="43">
        <v>0.02</v>
      </c>
      <c r="K28" s="43">
        <v>0.02</v>
      </c>
      <c r="L28" s="48">
        <f t="shared" ref="L28:L38" si="4">(E28-H28)/E28*100</f>
        <v>89.41176470588195</v>
      </c>
      <c r="M28" s="42">
        <v>0.02</v>
      </c>
    </row>
    <row r="29" spans="1:15" ht="14.45" hidden="1" x14ac:dyDescent="0.3">
      <c r="A29" s="6">
        <v>15</v>
      </c>
      <c r="B29" s="54" t="s">
        <v>38</v>
      </c>
      <c r="C29" s="88">
        <v>88</v>
      </c>
      <c r="D29" s="43">
        <v>207.8</v>
      </c>
      <c r="E29" s="42">
        <v>1.1000000000000001</v>
      </c>
      <c r="F29" s="43">
        <v>207.8</v>
      </c>
      <c r="G29" s="87">
        <v>207.7</v>
      </c>
      <c r="H29" s="43">
        <f>(D29-G29)*880000/1000000</f>
        <v>8.8000000000020007E-2</v>
      </c>
      <c r="I29" s="43">
        <f t="shared" ref="I29:I38" si="5">E29-H29</f>
        <v>1.01199999999998</v>
      </c>
      <c r="J29" s="43">
        <v>0.03</v>
      </c>
      <c r="K29" s="43">
        <v>0.03</v>
      </c>
      <c r="L29" s="48">
        <f t="shared" si="4"/>
        <v>91.999999999998167</v>
      </c>
      <c r="M29" s="42">
        <v>0.03</v>
      </c>
    </row>
    <row r="30" spans="1:15" ht="21.75" customHeight="1" x14ac:dyDescent="0.25">
      <c r="A30" s="16">
        <v>14</v>
      </c>
      <c r="B30" s="54" t="s">
        <v>89</v>
      </c>
      <c r="C30" s="88">
        <v>72</v>
      </c>
      <c r="D30" s="43">
        <v>214.9</v>
      </c>
      <c r="E30" s="42">
        <v>1.02</v>
      </c>
      <c r="F30" s="43">
        <v>214.9</v>
      </c>
      <c r="G30" s="43" t="s">
        <v>73</v>
      </c>
      <c r="H30" s="43" t="s">
        <v>73</v>
      </c>
      <c r="I30" s="43" t="s">
        <v>73</v>
      </c>
      <c r="J30" s="43" t="s">
        <v>73</v>
      </c>
      <c r="K30" s="43" t="s">
        <v>73</v>
      </c>
      <c r="L30" s="48" t="s">
        <v>73</v>
      </c>
      <c r="M30" s="42">
        <v>0.02</v>
      </c>
    </row>
    <row r="31" spans="1:15" ht="22.5" customHeight="1" x14ac:dyDescent="0.25">
      <c r="A31" s="16">
        <v>15</v>
      </c>
      <c r="B31" s="54" t="s">
        <v>90</v>
      </c>
      <c r="C31" s="88">
        <v>88</v>
      </c>
      <c r="D31" s="43">
        <v>207.8</v>
      </c>
      <c r="E31" s="42">
        <v>1.1000000000000001</v>
      </c>
      <c r="F31" s="43">
        <v>207.8</v>
      </c>
      <c r="G31" s="43" t="s">
        <v>73</v>
      </c>
      <c r="H31" s="43" t="s">
        <v>73</v>
      </c>
      <c r="I31" s="43" t="s">
        <v>73</v>
      </c>
      <c r="J31" s="43" t="s">
        <v>73</v>
      </c>
      <c r="K31" s="43" t="s">
        <v>73</v>
      </c>
      <c r="L31" s="48" t="s">
        <v>73</v>
      </c>
      <c r="M31" s="42">
        <v>0.03</v>
      </c>
    </row>
    <row r="32" spans="1:15" x14ac:dyDescent="0.25">
      <c r="A32" s="6">
        <v>16</v>
      </c>
      <c r="B32" s="54" t="s">
        <v>107</v>
      </c>
      <c r="C32" s="89">
        <v>137</v>
      </c>
      <c r="D32" s="43">
        <v>191.61</v>
      </c>
      <c r="E32" s="43">
        <v>1.4</v>
      </c>
      <c r="F32" s="43">
        <v>191.61</v>
      </c>
      <c r="G32" s="43">
        <v>191.61</v>
      </c>
      <c r="H32" s="43">
        <f>(D32-G32)*1.37</f>
        <v>0</v>
      </c>
      <c r="I32" s="43">
        <f>E32-H32</f>
        <v>1.4</v>
      </c>
      <c r="J32" s="43">
        <v>0.15</v>
      </c>
      <c r="K32" s="43">
        <v>0.15</v>
      </c>
      <c r="L32" s="48">
        <f t="shared" si="4"/>
        <v>100</v>
      </c>
      <c r="M32" s="43">
        <v>0.15</v>
      </c>
    </row>
    <row r="33" spans="1:13" x14ac:dyDescent="0.25">
      <c r="A33" s="6">
        <v>17</v>
      </c>
      <c r="B33" s="54" t="s">
        <v>108</v>
      </c>
      <c r="C33" s="89">
        <v>88</v>
      </c>
      <c r="D33" s="43">
        <v>203</v>
      </c>
      <c r="E33" s="43">
        <v>1.3</v>
      </c>
      <c r="F33" s="43">
        <v>203</v>
      </c>
      <c r="G33" s="43">
        <v>203</v>
      </c>
      <c r="H33" s="43">
        <f>(D33-G33)*0.88</f>
        <v>0</v>
      </c>
      <c r="I33" s="43">
        <f>E33-H33</f>
        <v>1.3</v>
      </c>
      <c r="J33" s="43">
        <v>0.01</v>
      </c>
      <c r="K33" s="43">
        <f t="shared" ref="K33:K36" si="6">J33</f>
        <v>0.01</v>
      </c>
      <c r="L33" s="48">
        <f>(E33-H33)/E33*100</f>
        <v>100</v>
      </c>
      <c r="M33" s="43">
        <v>0.02</v>
      </c>
    </row>
    <row r="34" spans="1:13" ht="21.75" customHeight="1" x14ac:dyDescent="0.25">
      <c r="A34" s="6">
        <v>18</v>
      </c>
      <c r="B34" s="54" t="s">
        <v>91</v>
      </c>
      <c r="C34" s="89">
        <v>60</v>
      </c>
      <c r="D34" s="43" t="s">
        <v>73</v>
      </c>
      <c r="E34" s="43">
        <v>1</v>
      </c>
      <c r="F34" s="43" t="s">
        <v>73</v>
      </c>
      <c r="G34" s="43" t="s">
        <v>73</v>
      </c>
      <c r="H34" s="43" t="s">
        <v>73</v>
      </c>
      <c r="I34" s="43" t="s">
        <v>73</v>
      </c>
      <c r="J34" s="43" t="s">
        <v>73</v>
      </c>
      <c r="K34" s="43" t="s">
        <v>73</v>
      </c>
      <c r="L34" s="48" t="s">
        <v>73</v>
      </c>
      <c r="M34" s="43">
        <v>0.01</v>
      </c>
    </row>
    <row r="35" spans="1:13" x14ac:dyDescent="0.25">
      <c r="A35" s="1">
        <v>19</v>
      </c>
      <c r="B35" s="40" t="s">
        <v>39</v>
      </c>
      <c r="C35" s="41">
        <v>234</v>
      </c>
      <c r="D35" s="86">
        <v>182.5</v>
      </c>
      <c r="E35" s="86">
        <v>3.93</v>
      </c>
      <c r="F35" s="43">
        <v>182.5</v>
      </c>
      <c r="G35" s="86">
        <v>182.5</v>
      </c>
      <c r="H35" s="43">
        <v>0</v>
      </c>
      <c r="I35" s="43">
        <f t="shared" si="5"/>
        <v>3.93</v>
      </c>
      <c r="J35" s="43">
        <v>7.0000000000000007E-2</v>
      </c>
      <c r="K35" s="43">
        <f>J35</f>
        <v>7.0000000000000007E-2</v>
      </c>
      <c r="L35" s="48">
        <f t="shared" si="4"/>
        <v>100</v>
      </c>
      <c r="M35" s="43">
        <v>0.21</v>
      </c>
    </row>
    <row r="36" spans="1:13" x14ac:dyDescent="0.25">
      <c r="A36" s="1">
        <v>20</v>
      </c>
      <c r="B36" s="90" t="s">
        <v>40</v>
      </c>
      <c r="C36" s="91">
        <v>65</v>
      </c>
      <c r="D36" s="43">
        <v>192.5</v>
      </c>
      <c r="E36" s="43">
        <v>1.07</v>
      </c>
      <c r="F36" s="43">
        <v>192.5</v>
      </c>
      <c r="G36" s="43">
        <v>191</v>
      </c>
      <c r="H36" s="43">
        <f>(D36-G36)*0.59</f>
        <v>0.88500000000000001</v>
      </c>
      <c r="I36" s="43">
        <f>E36-H36</f>
        <v>0.18500000000000005</v>
      </c>
      <c r="J36" s="43">
        <v>0.02</v>
      </c>
      <c r="K36" s="43">
        <f t="shared" si="6"/>
        <v>0.02</v>
      </c>
      <c r="L36" s="44">
        <f>I36/E36*100</f>
        <v>17.289719626168228</v>
      </c>
      <c r="M36" s="43">
        <v>0.01</v>
      </c>
    </row>
    <row r="37" spans="1:13" x14ac:dyDescent="0.25">
      <c r="A37" s="1">
        <v>21</v>
      </c>
      <c r="B37" s="92" t="s">
        <v>41</v>
      </c>
      <c r="C37" s="93">
        <v>97</v>
      </c>
      <c r="D37" s="43">
        <v>179.1</v>
      </c>
      <c r="E37" s="43">
        <v>1.75</v>
      </c>
      <c r="F37" s="43">
        <v>179.1</v>
      </c>
      <c r="G37" s="43">
        <v>179.12</v>
      </c>
      <c r="H37" s="43">
        <v>0</v>
      </c>
      <c r="I37" s="43">
        <f t="shared" si="5"/>
        <v>1.75</v>
      </c>
      <c r="J37" s="43">
        <v>0.12</v>
      </c>
      <c r="K37" s="43">
        <v>0.12</v>
      </c>
      <c r="L37" s="48">
        <f t="shared" si="4"/>
        <v>100</v>
      </c>
      <c r="M37" s="43">
        <v>0.22</v>
      </c>
    </row>
    <row r="38" spans="1:13" x14ac:dyDescent="0.25">
      <c r="A38" s="1">
        <v>22</v>
      </c>
      <c r="B38" s="92" t="s">
        <v>42</v>
      </c>
      <c r="C38" s="94">
        <v>95</v>
      </c>
      <c r="D38" s="95">
        <v>174.03</v>
      </c>
      <c r="E38" s="95">
        <v>1.03</v>
      </c>
      <c r="F38" s="42">
        <v>174.03</v>
      </c>
      <c r="G38" s="96">
        <v>174.05</v>
      </c>
      <c r="H38" s="43">
        <v>0</v>
      </c>
      <c r="I38" s="43">
        <f t="shared" si="5"/>
        <v>1.03</v>
      </c>
      <c r="J38" s="43">
        <v>0.15</v>
      </c>
      <c r="K38" s="96">
        <v>0.15</v>
      </c>
      <c r="L38" s="44">
        <f t="shared" si="4"/>
        <v>100</v>
      </c>
      <c r="M38" s="42">
        <v>0.26</v>
      </c>
    </row>
    <row r="39" spans="1:13" x14ac:dyDescent="0.25">
      <c r="A39" s="1"/>
      <c r="B39" s="97" t="s">
        <v>33</v>
      </c>
      <c r="C39" s="98"/>
      <c r="D39" s="99"/>
      <c r="E39" s="5">
        <f>SUM(E28:E38)</f>
        <v>15.72</v>
      </c>
      <c r="F39" s="5"/>
      <c r="G39" s="100"/>
      <c r="H39" s="60">
        <f>SUM(H28:H38)</f>
        <v>1.0810000000000242</v>
      </c>
      <c r="I39" s="60">
        <f>SUM(I28:I38)</f>
        <v>11.518999999999975</v>
      </c>
      <c r="J39" s="60"/>
      <c r="K39" s="60"/>
      <c r="L39" s="62">
        <f>AVERAGE(L28:L38)</f>
        <v>87.337685541506033</v>
      </c>
      <c r="M39" s="5"/>
    </row>
    <row r="40" spans="1:13" x14ac:dyDescent="0.25">
      <c r="A40" s="1"/>
      <c r="B40" s="101" t="s">
        <v>43</v>
      </c>
      <c r="C40" s="79"/>
      <c r="D40" s="102"/>
      <c r="E40" s="102"/>
      <c r="F40" s="102"/>
      <c r="G40" s="103"/>
      <c r="H40" s="104"/>
      <c r="I40" s="104"/>
      <c r="J40" s="83"/>
      <c r="K40" s="83"/>
      <c r="L40" s="105"/>
      <c r="M40" s="102"/>
    </row>
    <row r="41" spans="1:13" x14ac:dyDescent="0.25">
      <c r="A41" s="1">
        <v>23</v>
      </c>
      <c r="B41" s="49" t="s">
        <v>44</v>
      </c>
      <c r="C41" s="46">
        <v>57</v>
      </c>
      <c r="D41" s="106">
        <v>189.5</v>
      </c>
      <c r="E41" s="106">
        <v>1.19</v>
      </c>
      <c r="F41" s="43">
        <v>189.5</v>
      </c>
      <c r="G41" s="86">
        <v>189.42</v>
      </c>
      <c r="H41" s="43">
        <f>(D41-G41)*570000/1000000</f>
        <v>4.5600000000007128E-2</v>
      </c>
      <c r="I41" s="43">
        <f>E41-H41</f>
        <v>1.1443999999999928</v>
      </c>
      <c r="J41" s="43">
        <v>0.03</v>
      </c>
      <c r="K41" s="43">
        <f t="shared" ref="K41:K43" si="7">J41</f>
        <v>0.03</v>
      </c>
      <c r="L41" s="107">
        <f>(E41-H41)/E41*100</f>
        <v>96.168067226890159</v>
      </c>
      <c r="M41" s="50">
        <v>0.05</v>
      </c>
    </row>
    <row r="42" spans="1:13" x14ac:dyDescent="0.25">
      <c r="A42" s="1">
        <v>24</v>
      </c>
      <c r="B42" s="108" t="s">
        <v>45</v>
      </c>
      <c r="C42" s="109">
        <v>104</v>
      </c>
      <c r="D42" s="42">
        <v>185.5</v>
      </c>
      <c r="E42" s="42">
        <v>1.83</v>
      </c>
      <c r="F42" s="42">
        <v>185.5</v>
      </c>
      <c r="G42" s="43">
        <v>185.5</v>
      </c>
      <c r="H42" s="43">
        <v>0</v>
      </c>
      <c r="I42" s="43">
        <f>E42-H42</f>
        <v>1.83</v>
      </c>
      <c r="J42" s="43">
        <v>0.03</v>
      </c>
      <c r="K42" s="43">
        <v>0.03</v>
      </c>
      <c r="L42" s="107">
        <f>(E42-H42)/E42*100</f>
        <v>100</v>
      </c>
      <c r="M42" s="42">
        <v>0.06</v>
      </c>
    </row>
    <row r="43" spans="1:13" x14ac:dyDescent="0.25">
      <c r="A43" s="1">
        <v>25</v>
      </c>
      <c r="B43" s="71" t="s">
        <v>46</v>
      </c>
      <c r="C43" s="110">
        <v>64</v>
      </c>
      <c r="D43" s="111">
        <v>180.6</v>
      </c>
      <c r="E43" s="111">
        <v>1.02</v>
      </c>
      <c r="F43" s="50">
        <v>180.6</v>
      </c>
      <c r="G43" s="96">
        <v>180.2</v>
      </c>
      <c r="H43" s="43">
        <f>(D43-G43)*640000/1000000</f>
        <v>0.25600000000000361</v>
      </c>
      <c r="I43" s="43">
        <f>E43-H43</f>
        <v>0.76399999999999646</v>
      </c>
      <c r="J43" s="43">
        <v>0.04</v>
      </c>
      <c r="K43" s="96">
        <f t="shared" si="7"/>
        <v>0.04</v>
      </c>
      <c r="L43" s="107">
        <f>(E43-H43)/E43*100</f>
        <v>74.901960784313388</v>
      </c>
      <c r="M43" s="50">
        <v>0.06</v>
      </c>
    </row>
    <row r="44" spans="1:13" x14ac:dyDescent="0.25">
      <c r="A44" s="1"/>
      <c r="B44" s="97" t="s">
        <v>33</v>
      </c>
      <c r="C44" s="98"/>
      <c r="D44" s="99"/>
      <c r="E44" s="5">
        <f>SUM(E41:E43)</f>
        <v>4.04</v>
      </c>
      <c r="F44" s="5"/>
      <c r="G44" s="100"/>
      <c r="H44" s="60">
        <f>SUM(H41:H43)</f>
        <v>0.30160000000001075</v>
      </c>
      <c r="I44" s="60">
        <f>SUM(I41:I43)</f>
        <v>3.7383999999999897</v>
      </c>
      <c r="J44" s="60"/>
      <c r="K44" s="60"/>
      <c r="L44" s="112">
        <f>AVERAGE(L41:L43)</f>
        <v>90.356676003734535</v>
      </c>
      <c r="M44" s="5"/>
    </row>
    <row r="45" spans="1:13" x14ac:dyDescent="0.25">
      <c r="A45" s="1"/>
      <c r="B45" s="78" t="s">
        <v>47</v>
      </c>
      <c r="C45" s="79"/>
      <c r="D45" s="113"/>
      <c r="E45" s="113"/>
      <c r="F45" s="113"/>
      <c r="G45" s="129"/>
      <c r="H45" s="83"/>
      <c r="I45" s="83"/>
      <c r="J45" s="83"/>
      <c r="K45" s="69"/>
      <c r="L45" s="114"/>
      <c r="M45" s="50"/>
    </row>
    <row r="46" spans="1:13" x14ac:dyDescent="0.25">
      <c r="A46" s="1">
        <v>26</v>
      </c>
      <c r="B46" s="45" t="s">
        <v>48</v>
      </c>
      <c r="C46" s="46">
        <v>66.7</v>
      </c>
      <c r="D46" s="115">
        <v>182.5</v>
      </c>
      <c r="E46" s="115">
        <v>1.08</v>
      </c>
      <c r="F46" s="42">
        <v>182.5</v>
      </c>
      <c r="G46" s="86">
        <v>181.8</v>
      </c>
      <c r="H46" s="86">
        <f>(D46-G46)*667000/1000000</f>
        <v>0.46689999999999243</v>
      </c>
      <c r="I46" s="86">
        <f>E46-H46</f>
        <v>0.61310000000000764</v>
      </c>
      <c r="J46" s="43">
        <v>0.1</v>
      </c>
      <c r="K46" s="86">
        <f t="shared" ref="K46" si="8">J46</f>
        <v>0.1</v>
      </c>
      <c r="L46" s="107">
        <f>(E46-H46)/E46*100</f>
        <v>56.768518518519215</v>
      </c>
      <c r="M46" s="116">
        <v>0.04</v>
      </c>
    </row>
    <row r="47" spans="1:13" x14ac:dyDescent="0.25">
      <c r="A47" s="1">
        <v>27</v>
      </c>
      <c r="B47" s="117" t="s">
        <v>49</v>
      </c>
      <c r="C47" s="109">
        <v>62.8</v>
      </c>
      <c r="D47" s="50">
        <v>177</v>
      </c>
      <c r="E47" s="50">
        <v>1.41</v>
      </c>
      <c r="F47" s="43">
        <v>177</v>
      </c>
      <c r="G47" s="43">
        <v>176.3</v>
      </c>
      <c r="H47" s="115">
        <f>(D47-G47)*628000/1000000</f>
        <v>0.43959999999999283</v>
      </c>
      <c r="I47" s="115">
        <f>E47-H47</f>
        <v>0.97040000000000703</v>
      </c>
      <c r="J47" s="43">
        <v>0.1</v>
      </c>
      <c r="K47" s="86">
        <f>J47</f>
        <v>0.1</v>
      </c>
      <c r="L47" s="107">
        <f>(E47-H47)/E47*100</f>
        <v>68.822695035461507</v>
      </c>
      <c r="M47" s="118">
        <v>0.05</v>
      </c>
    </row>
    <row r="48" spans="1:13" x14ac:dyDescent="0.25">
      <c r="A48" s="1">
        <v>28</v>
      </c>
      <c r="B48" s="119" t="s">
        <v>50</v>
      </c>
      <c r="C48" s="52">
        <v>56</v>
      </c>
      <c r="D48" s="111">
        <v>175.25</v>
      </c>
      <c r="E48" s="111">
        <v>1.17</v>
      </c>
      <c r="F48" s="50">
        <v>175.25</v>
      </c>
      <c r="G48" s="96">
        <v>174.9</v>
      </c>
      <c r="H48" s="115">
        <f>(D48-G48)*0.56</f>
        <v>0.19599999999999684</v>
      </c>
      <c r="I48" s="115">
        <f>E48-H48</f>
        <v>0.97400000000000309</v>
      </c>
      <c r="J48" s="43">
        <v>0.1</v>
      </c>
      <c r="K48" s="86">
        <f>J48</f>
        <v>0.1</v>
      </c>
      <c r="L48" s="107">
        <f>(E48-H48)/E48*100</f>
        <v>83.247863247863521</v>
      </c>
      <c r="M48" s="118">
        <v>0.06</v>
      </c>
    </row>
    <row r="49" spans="1:13" x14ac:dyDescent="0.25">
      <c r="A49" s="1"/>
      <c r="B49" s="97" t="s">
        <v>33</v>
      </c>
      <c r="C49" s="120"/>
      <c r="D49" s="50"/>
      <c r="E49" s="121">
        <f>SUM(E46:E48)</f>
        <v>3.66</v>
      </c>
      <c r="F49" s="122"/>
      <c r="G49" s="190"/>
      <c r="H49" s="123">
        <f>SUM(H46:H48)</f>
        <v>1.102499999999982</v>
      </c>
      <c r="I49" s="123">
        <f>SUM(I46:I48)</f>
        <v>2.5575000000000179</v>
      </c>
      <c r="J49" s="60"/>
      <c r="K49" s="124"/>
      <c r="L49" s="125">
        <f>AVERAGE(L46:L48)</f>
        <v>69.613025600614748</v>
      </c>
      <c r="M49" s="126"/>
    </row>
    <row r="50" spans="1:13" ht="14.25" customHeight="1" x14ac:dyDescent="0.25">
      <c r="A50" s="1"/>
      <c r="B50" s="127" t="s">
        <v>51</v>
      </c>
      <c r="C50" s="128"/>
      <c r="D50" s="113"/>
      <c r="E50" s="113"/>
      <c r="F50" s="113"/>
      <c r="G50" s="129"/>
      <c r="H50" s="113"/>
      <c r="I50" s="113"/>
      <c r="J50" s="83"/>
      <c r="K50" s="83"/>
      <c r="L50" s="84"/>
      <c r="M50" s="50"/>
    </row>
    <row r="51" spans="1:13" ht="14.25" hidden="1" customHeight="1" x14ac:dyDescent="0.3">
      <c r="A51" s="1">
        <v>29</v>
      </c>
      <c r="B51" s="209" t="s">
        <v>94</v>
      </c>
      <c r="C51" s="210">
        <v>77</v>
      </c>
      <c r="D51" s="211">
        <v>215.1</v>
      </c>
      <c r="E51" s="212">
        <v>0.91</v>
      </c>
      <c r="F51" s="212">
        <v>215.1</v>
      </c>
      <c r="G51" s="87"/>
      <c r="H51" s="212"/>
      <c r="I51" s="212"/>
      <c r="J51" s="212"/>
      <c r="K51" s="212"/>
      <c r="L51" s="213"/>
      <c r="M51" s="212">
        <v>7.0000000000000007E-2</v>
      </c>
    </row>
    <row r="52" spans="1:13" x14ac:dyDescent="0.25">
      <c r="A52" s="1">
        <v>29</v>
      </c>
      <c r="B52" s="131" t="s">
        <v>95</v>
      </c>
      <c r="C52" s="132">
        <v>184</v>
      </c>
      <c r="D52" s="133">
        <v>212.5</v>
      </c>
      <c r="E52" s="50">
        <v>2.4700000000000002</v>
      </c>
      <c r="F52" s="50">
        <v>212.5</v>
      </c>
      <c r="G52" s="43">
        <v>212.43</v>
      </c>
      <c r="H52" s="43">
        <v>0.1</v>
      </c>
      <c r="I52" s="43">
        <f t="shared" ref="I52:I61" si="9">E52-H52</f>
        <v>2.37</v>
      </c>
      <c r="J52" s="43">
        <v>0.15</v>
      </c>
      <c r="K52" s="43">
        <f t="shared" ref="K52:K60" si="10">J52</f>
        <v>0.15</v>
      </c>
      <c r="L52" s="114">
        <v>100</v>
      </c>
      <c r="M52" s="50">
        <v>0.1</v>
      </c>
    </row>
    <row r="53" spans="1:13" x14ac:dyDescent="0.25">
      <c r="A53" s="1">
        <v>30</v>
      </c>
      <c r="B53" s="131" t="s">
        <v>96</v>
      </c>
      <c r="C53" s="132">
        <v>53</v>
      </c>
      <c r="D53" s="133">
        <v>195.5</v>
      </c>
      <c r="E53" s="50">
        <v>0.61</v>
      </c>
      <c r="F53" s="42">
        <v>195.5</v>
      </c>
      <c r="G53" s="43">
        <v>195.31</v>
      </c>
      <c r="H53" s="43">
        <v>0.12</v>
      </c>
      <c r="I53" s="43">
        <f t="shared" si="9"/>
        <v>0.49</v>
      </c>
      <c r="J53" s="43">
        <v>0.1</v>
      </c>
      <c r="K53" s="43">
        <f t="shared" si="10"/>
        <v>0.1</v>
      </c>
      <c r="L53" s="44">
        <f t="shared" ref="L53" si="11">I53/E53*100</f>
        <v>80.327868852459019</v>
      </c>
      <c r="M53" s="50">
        <v>0.15</v>
      </c>
    </row>
    <row r="54" spans="1:13" x14ac:dyDescent="0.25">
      <c r="A54" s="1">
        <v>31</v>
      </c>
      <c r="B54" s="131" t="s">
        <v>97</v>
      </c>
      <c r="C54" s="132">
        <v>159</v>
      </c>
      <c r="D54" s="134">
        <v>191.7</v>
      </c>
      <c r="E54" s="42">
        <v>1.74</v>
      </c>
      <c r="F54" s="42">
        <v>191.7</v>
      </c>
      <c r="G54" s="43">
        <v>191.21</v>
      </c>
      <c r="H54" s="43">
        <v>0.71</v>
      </c>
      <c r="I54" s="43">
        <f>E54-H54</f>
        <v>1.03</v>
      </c>
      <c r="J54" s="43">
        <v>0.1</v>
      </c>
      <c r="K54" s="43">
        <f t="shared" si="10"/>
        <v>0.1</v>
      </c>
      <c r="L54" s="44">
        <v>28</v>
      </c>
      <c r="M54" s="42">
        <v>0.15</v>
      </c>
    </row>
    <row r="55" spans="1:13" x14ac:dyDescent="0.25">
      <c r="A55" s="1">
        <v>32</v>
      </c>
      <c r="B55" s="131" t="s">
        <v>98</v>
      </c>
      <c r="C55" s="132">
        <v>353</v>
      </c>
      <c r="D55" s="130">
        <v>189.5</v>
      </c>
      <c r="E55" s="43">
        <v>1.93</v>
      </c>
      <c r="F55" s="43">
        <v>189.5</v>
      </c>
      <c r="G55" s="43">
        <v>189.53</v>
      </c>
      <c r="H55" s="43">
        <v>0</v>
      </c>
      <c r="I55" s="43">
        <f t="shared" si="9"/>
        <v>1.93</v>
      </c>
      <c r="J55" s="43">
        <v>0.45</v>
      </c>
      <c r="K55" s="43">
        <v>0.45</v>
      </c>
      <c r="L55" s="44">
        <v>100</v>
      </c>
      <c r="M55" s="43">
        <v>0.2</v>
      </c>
    </row>
    <row r="56" spans="1:13" x14ac:dyDescent="0.25">
      <c r="A56" s="1">
        <v>33</v>
      </c>
      <c r="B56" s="131" t="s">
        <v>99</v>
      </c>
      <c r="C56" s="132">
        <v>55.5</v>
      </c>
      <c r="D56" s="133">
        <v>186</v>
      </c>
      <c r="E56" s="50">
        <v>1.07</v>
      </c>
      <c r="F56" s="50">
        <v>186</v>
      </c>
      <c r="G56" s="43">
        <v>185.86</v>
      </c>
      <c r="H56" s="43">
        <v>7.0000000000000007E-2</v>
      </c>
      <c r="I56" s="43">
        <f t="shared" si="9"/>
        <v>1</v>
      </c>
      <c r="J56" s="43">
        <v>0.3</v>
      </c>
      <c r="K56" s="43">
        <v>0.3</v>
      </c>
      <c r="L56" s="114">
        <v>87</v>
      </c>
      <c r="M56" s="50">
        <v>0.25</v>
      </c>
    </row>
    <row r="57" spans="1:13" x14ac:dyDescent="0.25">
      <c r="A57" s="1">
        <v>34</v>
      </c>
      <c r="B57" s="131" t="s">
        <v>100</v>
      </c>
      <c r="C57" s="132">
        <v>90</v>
      </c>
      <c r="D57" s="133">
        <v>182.4</v>
      </c>
      <c r="E57" s="50">
        <v>1.47</v>
      </c>
      <c r="F57" s="50">
        <v>182.4</v>
      </c>
      <c r="G57" s="43">
        <v>182.42</v>
      </c>
      <c r="H57" s="43">
        <v>0</v>
      </c>
      <c r="I57" s="43">
        <f t="shared" si="9"/>
        <v>1.47</v>
      </c>
      <c r="J57" s="43">
        <v>0.3</v>
      </c>
      <c r="K57" s="43">
        <v>0.3</v>
      </c>
      <c r="L57" s="44">
        <v>101</v>
      </c>
      <c r="M57" s="50">
        <v>0.3</v>
      </c>
    </row>
    <row r="58" spans="1:13" x14ac:dyDescent="0.25">
      <c r="A58" s="1">
        <v>35</v>
      </c>
      <c r="B58" s="49" t="s">
        <v>52</v>
      </c>
      <c r="C58" s="135">
        <v>58</v>
      </c>
      <c r="D58" s="115">
        <v>173</v>
      </c>
      <c r="E58" s="115">
        <v>1.1299999999999999</v>
      </c>
      <c r="F58" s="42">
        <v>173</v>
      </c>
      <c r="G58" s="43">
        <v>173.01</v>
      </c>
      <c r="H58" s="43">
        <v>0</v>
      </c>
      <c r="I58" s="43">
        <f t="shared" si="9"/>
        <v>1.1299999999999999</v>
      </c>
      <c r="J58" s="43">
        <v>0.4</v>
      </c>
      <c r="K58" s="43">
        <f t="shared" si="10"/>
        <v>0.4</v>
      </c>
      <c r="L58" s="44">
        <f t="shared" ref="L58:L61" si="12">I58/E58*100</f>
        <v>100</v>
      </c>
      <c r="M58" s="42">
        <v>0.35</v>
      </c>
    </row>
    <row r="59" spans="1:13" x14ac:dyDescent="0.25">
      <c r="A59" s="1">
        <v>36</v>
      </c>
      <c r="B59" s="131" t="s">
        <v>113</v>
      </c>
      <c r="C59" s="47">
        <v>68</v>
      </c>
      <c r="D59" s="42">
        <v>169</v>
      </c>
      <c r="E59" s="42">
        <v>1.2</v>
      </c>
      <c r="F59" s="42">
        <v>169</v>
      </c>
      <c r="G59" s="43">
        <v>169.15</v>
      </c>
      <c r="H59" s="43">
        <v>0</v>
      </c>
      <c r="I59" s="43">
        <f t="shared" si="9"/>
        <v>1.2</v>
      </c>
      <c r="J59" s="43">
        <v>0.4</v>
      </c>
      <c r="K59" s="43">
        <f t="shared" si="10"/>
        <v>0.4</v>
      </c>
      <c r="L59" s="44">
        <v>95</v>
      </c>
      <c r="M59" s="42">
        <v>0.4</v>
      </c>
    </row>
    <row r="60" spans="1:13" x14ac:dyDescent="0.25">
      <c r="A60" s="1">
        <v>37</v>
      </c>
      <c r="B60" s="136" t="s">
        <v>53</v>
      </c>
      <c r="C60" s="137">
        <v>102</v>
      </c>
      <c r="D60" s="42">
        <v>163</v>
      </c>
      <c r="E60" s="42">
        <v>2.5</v>
      </c>
      <c r="F60" s="42">
        <v>163</v>
      </c>
      <c r="G60" s="43">
        <v>163.05000000000001</v>
      </c>
      <c r="H60" s="43">
        <v>0</v>
      </c>
      <c r="I60" s="43">
        <f>E60-H60</f>
        <v>2.5</v>
      </c>
      <c r="J60" s="43">
        <v>0.5</v>
      </c>
      <c r="K60" s="43">
        <f t="shared" si="10"/>
        <v>0.5</v>
      </c>
      <c r="L60" s="114">
        <f>I60/E60*100</f>
        <v>100</v>
      </c>
      <c r="M60" s="42">
        <v>0.45</v>
      </c>
    </row>
    <row r="61" spans="1:13" x14ac:dyDescent="0.25">
      <c r="A61" s="1">
        <v>38</v>
      </c>
      <c r="B61" s="108" t="s">
        <v>75</v>
      </c>
      <c r="C61" s="109">
        <v>78</v>
      </c>
      <c r="D61" s="95">
        <v>160.1</v>
      </c>
      <c r="E61" s="95">
        <v>1.28</v>
      </c>
      <c r="F61" s="42">
        <v>160.1</v>
      </c>
      <c r="G61" s="43">
        <v>160.5</v>
      </c>
      <c r="H61" s="43">
        <v>0</v>
      </c>
      <c r="I61" s="43">
        <f t="shared" si="9"/>
        <v>1.28</v>
      </c>
      <c r="J61" s="43">
        <v>0.6</v>
      </c>
      <c r="K61" s="96">
        <v>0.06</v>
      </c>
      <c r="L61" s="114">
        <f t="shared" si="12"/>
        <v>100</v>
      </c>
      <c r="M61" s="42">
        <v>0.5</v>
      </c>
    </row>
    <row r="62" spans="1:13" x14ac:dyDescent="0.25">
      <c r="A62" s="1"/>
      <c r="B62" s="97" t="s">
        <v>33</v>
      </c>
      <c r="C62" s="138"/>
      <c r="D62" s="111"/>
      <c r="E62" s="5">
        <f>SUM(E51:E61)</f>
        <v>16.310000000000002</v>
      </c>
      <c r="F62" s="121"/>
      <c r="G62" s="100"/>
      <c r="H62" s="60">
        <f>SUM(H51:H61)</f>
        <v>1</v>
      </c>
      <c r="I62" s="60">
        <f>SUM(I51:I53,I54:I61)</f>
        <v>14.4</v>
      </c>
      <c r="J62" s="60"/>
      <c r="K62" s="139"/>
      <c r="L62" s="140">
        <f>AVERAGE(L51:L53,L54:L61)</f>
        <v>89.132786885245906</v>
      </c>
      <c r="M62" s="141"/>
    </row>
    <row r="63" spans="1:13" x14ac:dyDescent="0.25">
      <c r="A63" s="1"/>
      <c r="B63" s="142" t="s">
        <v>54</v>
      </c>
      <c r="C63" s="143"/>
      <c r="D63" s="47"/>
      <c r="E63" s="113"/>
      <c r="F63" s="89"/>
      <c r="G63" s="144"/>
      <c r="H63" s="88"/>
      <c r="I63" s="88"/>
      <c r="J63" s="145"/>
      <c r="K63" s="145"/>
      <c r="L63" s="146"/>
      <c r="M63" s="147"/>
    </row>
    <row r="64" spans="1:13" x14ac:dyDescent="0.25">
      <c r="A64" s="1">
        <v>39</v>
      </c>
      <c r="B64" s="131" t="s">
        <v>101</v>
      </c>
      <c r="C64" s="55">
        <v>73.430000000000007</v>
      </c>
      <c r="D64" s="148">
        <v>217.9</v>
      </c>
      <c r="E64" s="50">
        <v>1.1200000000000001</v>
      </c>
      <c r="F64" s="50">
        <v>217.9</v>
      </c>
      <c r="G64" s="43">
        <v>217.8</v>
      </c>
      <c r="H64" s="43">
        <v>7.0000000000000007E-2</v>
      </c>
      <c r="I64" s="43">
        <f>E64-H64</f>
        <v>1.05</v>
      </c>
      <c r="J64" s="43">
        <v>0.05</v>
      </c>
      <c r="K64" s="43">
        <v>0.05</v>
      </c>
      <c r="L64" s="114">
        <v>78</v>
      </c>
      <c r="M64" s="50">
        <v>0.01</v>
      </c>
    </row>
    <row r="65" spans="1:13" x14ac:dyDescent="0.25">
      <c r="A65" s="1">
        <v>40</v>
      </c>
      <c r="B65" s="131" t="s">
        <v>102</v>
      </c>
      <c r="C65" s="55">
        <v>158</v>
      </c>
      <c r="D65" s="69">
        <v>211.5</v>
      </c>
      <c r="E65" s="43">
        <v>2.21</v>
      </c>
      <c r="F65" s="43">
        <v>211.5</v>
      </c>
      <c r="G65" s="43">
        <v>211.5</v>
      </c>
      <c r="H65" s="43">
        <v>0</v>
      </c>
      <c r="I65" s="43">
        <f t="shared" ref="I65:I70" si="13">E65-H65</f>
        <v>2.21</v>
      </c>
      <c r="J65" s="43">
        <v>0.09</v>
      </c>
      <c r="K65" s="43">
        <v>0.09</v>
      </c>
      <c r="L65" s="114">
        <v>100</v>
      </c>
      <c r="M65" s="43">
        <v>0.04</v>
      </c>
    </row>
    <row r="66" spans="1:13" x14ac:dyDescent="0.25">
      <c r="A66" s="1">
        <v>41</v>
      </c>
      <c r="B66" s="131" t="s">
        <v>103</v>
      </c>
      <c r="C66" s="55">
        <v>156.4</v>
      </c>
      <c r="D66" s="69">
        <v>189.2</v>
      </c>
      <c r="E66" s="43">
        <v>1.58</v>
      </c>
      <c r="F66" s="43">
        <v>189.2</v>
      </c>
      <c r="G66" s="43">
        <v>188.65</v>
      </c>
      <c r="H66" s="43">
        <v>0.61</v>
      </c>
      <c r="I66" s="43">
        <f t="shared" si="13"/>
        <v>0.97000000000000008</v>
      </c>
      <c r="J66" s="43">
        <v>0.05</v>
      </c>
      <c r="K66" s="43">
        <v>0.05</v>
      </c>
      <c r="L66" s="114">
        <v>45</v>
      </c>
      <c r="M66" s="43">
        <v>0.06</v>
      </c>
    </row>
    <row r="67" spans="1:13" x14ac:dyDescent="0.25">
      <c r="A67" s="1">
        <v>42</v>
      </c>
      <c r="B67" s="131" t="s">
        <v>104</v>
      </c>
      <c r="C67" s="55">
        <v>109.5</v>
      </c>
      <c r="D67" s="69">
        <v>184.5</v>
      </c>
      <c r="E67" s="43">
        <v>1.43</v>
      </c>
      <c r="F67" s="43">
        <v>184.5</v>
      </c>
      <c r="G67" s="43">
        <v>184.46</v>
      </c>
      <c r="H67" s="43">
        <v>0.04</v>
      </c>
      <c r="I67" s="43">
        <f t="shared" si="13"/>
        <v>1.39</v>
      </c>
      <c r="J67" s="43">
        <v>0.12</v>
      </c>
      <c r="K67" s="43">
        <f t="shared" ref="K67:K70" si="14">J67</f>
        <v>0.12</v>
      </c>
      <c r="L67" s="114">
        <v>97</v>
      </c>
      <c r="M67" s="43">
        <v>7.0000000000000007E-2</v>
      </c>
    </row>
    <row r="68" spans="1:13" ht="15" customHeight="1" x14ac:dyDescent="0.25">
      <c r="A68" s="1">
        <v>43</v>
      </c>
      <c r="B68" s="149" t="s">
        <v>105</v>
      </c>
      <c r="C68" s="135">
        <v>105</v>
      </c>
      <c r="D68" s="43">
        <v>182.6</v>
      </c>
      <c r="E68" s="43">
        <v>1.7</v>
      </c>
      <c r="F68" s="43">
        <v>182.6</v>
      </c>
      <c r="G68" s="43" t="s">
        <v>73</v>
      </c>
      <c r="H68" s="43" t="s">
        <v>73</v>
      </c>
      <c r="I68" s="43" t="s">
        <v>73</v>
      </c>
      <c r="J68" s="43" t="s">
        <v>73</v>
      </c>
      <c r="K68" s="43" t="s">
        <v>73</v>
      </c>
      <c r="L68" s="44" t="s">
        <v>73</v>
      </c>
      <c r="M68" s="43">
        <v>0.08</v>
      </c>
    </row>
    <row r="69" spans="1:13" x14ac:dyDescent="0.25">
      <c r="A69" s="1">
        <v>44</v>
      </c>
      <c r="B69" s="38" t="s">
        <v>55</v>
      </c>
      <c r="C69" s="47">
        <v>124.8</v>
      </c>
      <c r="D69" s="43">
        <v>97.97</v>
      </c>
      <c r="E69" s="43">
        <v>2.5</v>
      </c>
      <c r="F69" s="43">
        <v>97.97</v>
      </c>
      <c r="G69" s="43">
        <v>98.01</v>
      </c>
      <c r="H69" s="43">
        <v>0</v>
      </c>
      <c r="I69" s="43">
        <f t="shared" si="13"/>
        <v>2.5</v>
      </c>
      <c r="J69" s="43">
        <v>0.15</v>
      </c>
      <c r="K69" s="43">
        <v>0.15</v>
      </c>
      <c r="L69" s="44">
        <f t="shared" ref="L69:L70" si="15">(E69-H69)/E69*100</f>
        <v>100</v>
      </c>
      <c r="M69" s="43">
        <v>0.15</v>
      </c>
    </row>
    <row r="70" spans="1:13" x14ac:dyDescent="0.25">
      <c r="A70" s="2">
        <v>45</v>
      </c>
      <c r="B70" s="150" t="s">
        <v>84</v>
      </c>
      <c r="C70" s="41">
        <v>178.8</v>
      </c>
      <c r="D70" s="86">
        <v>161.46</v>
      </c>
      <c r="E70" s="86">
        <v>2.6</v>
      </c>
      <c r="F70" s="43">
        <v>161.46</v>
      </c>
      <c r="G70" s="86">
        <v>160.46</v>
      </c>
      <c r="H70" s="43">
        <f>(D70-G70)*1788000/1000000</f>
        <v>1.788</v>
      </c>
      <c r="I70" s="43">
        <f t="shared" si="13"/>
        <v>0.81200000000000006</v>
      </c>
      <c r="J70" s="43">
        <v>0</v>
      </c>
      <c r="K70" s="43">
        <f t="shared" si="14"/>
        <v>0</v>
      </c>
      <c r="L70" s="44">
        <f t="shared" si="15"/>
        <v>31.230769230769234</v>
      </c>
      <c r="M70" s="43">
        <v>0.16</v>
      </c>
    </row>
    <row r="71" spans="1:13" x14ac:dyDescent="0.25">
      <c r="A71" s="1"/>
      <c r="B71" s="97" t="s">
        <v>33</v>
      </c>
      <c r="C71" s="151"/>
      <c r="D71" s="152"/>
      <c r="E71" s="153">
        <f>SUM(E64:E70)</f>
        <v>13.139999999999999</v>
      </c>
      <c r="F71" s="153"/>
      <c r="G71" s="191"/>
      <c r="H71" s="60">
        <f>SUM(H64:H70)</f>
        <v>2.508</v>
      </c>
      <c r="I71" s="60">
        <f>SUM(I64:I70)</f>
        <v>8.9319999999999986</v>
      </c>
      <c r="J71" s="60"/>
      <c r="K71" s="60"/>
      <c r="L71" s="154">
        <f>AVERAGE(L64:L70)</f>
        <v>75.205128205128204</v>
      </c>
      <c r="M71" s="60"/>
    </row>
    <row r="72" spans="1:13" x14ac:dyDescent="0.25">
      <c r="A72" s="1"/>
      <c r="B72" s="155" t="s">
        <v>56</v>
      </c>
      <c r="C72" s="156"/>
      <c r="D72" s="157"/>
      <c r="E72" s="158"/>
      <c r="F72" s="157"/>
      <c r="G72" s="159"/>
      <c r="H72" s="157"/>
      <c r="I72" s="157"/>
      <c r="J72" s="96"/>
      <c r="K72" s="157"/>
      <c r="L72" s="160"/>
      <c r="M72" s="157"/>
    </row>
    <row r="73" spans="1:13" x14ac:dyDescent="0.25">
      <c r="A73" s="1">
        <v>46</v>
      </c>
      <c r="B73" s="54" t="s">
        <v>77</v>
      </c>
      <c r="C73" s="207">
        <v>78</v>
      </c>
      <c r="D73" s="208">
        <v>174.5</v>
      </c>
      <c r="E73" s="201">
        <v>1.1000000000000001</v>
      </c>
      <c r="F73" s="201">
        <v>174.5</v>
      </c>
      <c r="G73" s="237">
        <v>173.74</v>
      </c>
      <c r="H73" s="237">
        <v>0.59</v>
      </c>
      <c r="I73" s="237">
        <f>E73-H73</f>
        <v>0.51000000000000012</v>
      </c>
      <c r="J73" s="238">
        <v>0</v>
      </c>
      <c r="K73" s="238">
        <v>0</v>
      </c>
      <c r="L73" s="239">
        <f>I73/E73*100</f>
        <v>46.363636363636374</v>
      </c>
      <c r="M73" s="237">
        <v>0.02</v>
      </c>
    </row>
    <row r="74" spans="1:13" ht="24" x14ac:dyDescent="0.25">
      <c r="A74" s="1">
        <v>47</v>
      </c>
      <c r="B74" s="54" t="s">
        <v>110</v>
      </c>
      <c r="C74" s="161">
        <v>220</v>
      </c>
      <c r="D74" s="69">
        <v>168.8</v>
      </c>
      <c r="E74" s="43">
        <v>4.8</v>
      </c>
      <c r="F74" s="43">
        <v>168.8</v>
      </c>
      <c r="G74" s="43">
        <v>168.78</v>
      </c>
      <c r="H74" s="42">
        <f>(D74-G74)*2200000/1000000</f>
        <v>4.4000000000022514E-2</v>
      </c>
      <c r="I74" s="43">
        <f>E74-H74</f>
        <v>4.7559999999999771</v>
      </c>
      <c r="J74" s="43">
        <v>0.04</v>
      </c>
      <c r="K74" s="43">
        <v>0.04</v>
      </c>
      <c r="L74" s="44">
        <f t="shared" ref="L74:L80" si="16">(E74-H74)/E74*100</f>
        <v>99.08333333333286</v>
      </c>
      <c r="M74" s="43">
        <v>7.0000000000000007E-2</v>
      </c>
    </row>
    <row r="75" spans="1:13" x14ac:dyDescent="0.25">
      <c r="A75" s="1">
        <v>48</v>
      </c>
      <c r="B75" s="90" t="s">
        <v>65</v>
      </c>
      <c r="C75" s="91">
        <v>92</v>
      </c>
      <c r="D75" s="96">
        <v>159</v>
      </c>
      <c r="E75" s="200">
        <v>1.28</v>
      </c>
      <c r="F75" s="43">
        <v>159</v>
      </c>
      <c r="G75" s="200">
        <v>158.5</v>
      </c>
      <c r="H75" s="96">
        <f>(D75-G75)*920000/1000000</f>
        <v>0.46</v>
      </c>
      <c r="I75" s="43">
        <f t="shared" ref="I75:I80" si="17">E75-H75</f>
        <v>0.82000000000000006</v>
      </c>
      <c r="J75" s="43">
        <v>0.06</v>
      </c>
      <c r="K75" s="202">
        <v>0.06</v>
      </c>
      <c r="L75" s="203">
        <f t="shared" si="16"/>
        <v>64.0625</v>
      </c>
      <c r="M75" s="43">
        <v>0.1</v>
      </c>
    </row>
    <row r="76" spans="1:13" x14ac:dyDescent="0.25">
      <c r="A76" s="1">
        <v>49</v>
      </c>
      <c r="B76" s="162" t="s">
        <v>66</v>
      </c>
      <c r="C76" s="204">
        <v>62</v>
      </c>
      <c r="D76" s="50">
        <v>158.30000000000001</v>
      </c>
      <c r="E76" s="113">
        <v>1.02</v>
      </c>
      <c r="F76" s="50">
        <v>158.30000000000001</v>
      </c>
      <c r="G76" s="113">
        <v>157.41</v>
      </c>
      <c r="H76" s="96">
        <f>(D76-G76)*620000/1000000</f>
        <v>0.55180000000000917</v>
      </c>
      <c r="I76" s="43">
        <f t="shared" si="17"/>
        <v>0.46819999999999085</v>
      </c>
      <c r="J76" s="42">
        <v>7.0000000000000007E-2</v>
      </c>
      <c r="K76" s="205">
        <v>7.0000000000000007E-2</v>
      </c>
      <c r="L76" s="203">
        <f t="shared" si="16"/>
        <v>45.901960784312827</v>
      </c>
      <c r="M76" s="50">
        <v>0.1</v>
      </c>
    </row>
    <row r="77" spans="1:13" x14ac:dyDescent="0.25">
      <c r="A77" s="1">
        <v>50</v>
      </c>
      <c r="B77" s="40" t="s">
        <v>67</v>
      </c>
      <c r="C77" s="41">
        <v>96</v>
      </c>
      <c r="D77" s="106">
        <v>156.5</v>
      </c>
      <c r="E77" s="102">
        <v>1.36</v>
      </c>
      <c r="F77" s="50">
        <v>156.5</v>
      </c>
      <c r="G77" s="102">
        <v>155.78</v>
      </c>
      <c r="H77" s="96">
        <f>(D77-G77)*960000/1000000</f>
        <v>0.69119999999999893</v>
      </c>
      <c r="I77" s="43">
        <f t="shared" si="17"/>
        <v>0.66880000000000117</v>
      </c>
      <c r="J77" s="42">
        <v>0.09</v>
      </c>
      <c r="K77" s="205">
        <v>0.09</v>
      </c>
      <c r="L77" s="203">
        <f t="shared" si="16"/>
        <v>49.176470588235375</v>
      </c>
      <c r="M77" s="50">
        <v>0.11</v>
      </c>
    </row>
    <row r="78" spans="1:13" x14ac:dyDescent="0.25">
      <c r="A78" s="1">
        <v>51</v>
      </c>
      <c r="B78" s="40" t="s">
        <v>68</v>
      </c>
      <c r="C78" s="41">
        <v>66</v>
      </c>
      <c r="D78" s="106">
        <v>156.19999999999999</v>
      </c>
      <c r="E78" s="102">
        <v>1</v>
      </c>
      <c r="F78" s="50">
        <v>156.19999999999999</v>
      </c>
      <c r="G78" s="106">
        <v>155.9</v>
      </c>
      <c r="H78" s="96">
        <f>(D78-G78)*660000/1000000</f>
        <v>0.19799999999998874</v>
      </c>
      <c r="I78" s="43">
        <f t="shared" si="17"/>
        <v>0.80200000000001126</v>
      </c>
      <c r="J78" s="42">
        <v>0.09</v>
      </c>
      <c r="K78" s="205">
        <v>0.09</v>
      </c>
      <c r="L78" s="203">
        <f t="shared" si="16"/>
        <v>80.200000000001125</v>
      </c>
      <c r="M78" s="50">
        <v>0.11</v>
      </c>
    </row>
    <row r="79" spans="1:13" x14ac:dyDescent="0.25">
      <c r="A79" s="1">
        <v>52</v>
      </c>
      <c r="B79" s="162" t="s">
        <v>69</v>
      </c>
      <c r="C79" s="204">
        <v>92</v>
      </c>
      <c r="D79" s="50">
        <v>155.69999999999999</v>
      </c>
      <c r="E79" s="113">
        <v>1.21</v>
      </c>
      <c r="F79" s="50">
        <v>155.69999999999999</v>
      </c>
      <c r="G79" s="50">
        <v>154.78</v>
      </c>
      <c r="H79" s="96">
        <f>(D79-G79)*920000/1000000</f>
        <v>0.84639999999998849</v>
      </c>
      <c r="I79" s="43">
        <f t="shared" si="17"/>
        <v>0.36360000000001147</v>
      </c>
      <c r="J79" s="42">
        <v>0.01</v>
      </c>
      <c r="K79" s="205">
        <v>0.01</v>
      </c>
      <c r="L79" s="203">
        <f t="shared" si="16"/>
        <v>30.049586776860455</v>
      </c>
      <c r="M79" s="50">
        <v>0.12</v>
      </c>
    </row>
    <row r="80" spans="1:13" x14ac:dyDescent="0.25">
      <c r="A80" s="1">
        <v>53</v>
      </c>
      <c r="B80" s="162" t="s">
        <v>70</v>
      </c>
      <c r="C80" s="204">
        <v>58</v>
      </c>
      <c r="D80" s="50">
        <v>154.19999999999999</v>
      </c>
      <c r="E80" s="50">
        <v>1.02</v>
      </c>
      <c r="F80" s="50">
        <v>154.19999999999999</v>
      </c>
      <c r="G80" s="113">
        <v>153.9</v>
      </c>
      <c r="H80" s="96">
        <f>(D80-G80)*580000/1000000</f>
        <v>0.17399999999999011</v>
      </c>
      <c r="I80" s="43">
        <f t="shared" si="17"/>
        <v>0.84600000000000986</v>
      </c>
      <c r="J80" s="42">
        <v>0.11</v>
      </c>
      <c r="K80" s="205">
        <v>0.11</v>
      </c>
      <c r="L80" s="203">
        <f t="shared" si="16"/>
        <v>82.941176470589198</v>
      </c>
      <c r="M80" s="50">
        <v>0.13</v>
      </c>
    </row>
    <row r="81" spans="1:17" x14ac:dyDescent="0.25">
      <c r="A81" s="1">
        <v>54</v>
      </c>
      <c r="B81" s="163" t="s">
        <v>82</v>
      </c>
      <c r="C81" s="206">
        <v>153</v>
      </c>
      <c r="D81" s="43">
        <v>158.80000000000001</v>
      </c>
      <c r="E81" s="83">
        <v>3.64</v>
      </c>
      <c r="F81" s="43">
        <v>158.80000000000001</v>
      </c>
      <c r="G81" s="43">
        <v>158.75</v>
      </c>
      <c r="H81" s="43">
        <v>8.1000000000000003E-2</v>
      </c>
      <c r="I81" s="43">
        <f>E81-H81</f>
        <v>3.5590000000000002</v>
      </c>
      <c r="J81" s="43">
        <v>8.9999999999999993E-3</v>
      </c>
      <c r="K81" s="43">
        <v>0.01</v>
      </c>
      <c r="L81" s="44">
        <f>I81/E81*100</f>
        <v>97.77472527472527</v>
      </c>
      <c r="M81" s="43">
        <v>0.09</v>
      </c>
    </row>
    <row r="82" spans="1:17" x14ac:dyDescent="0.25">
      <c r="A82" s="1">
        <v>55</v>
      </c>
      <c r="B82" s="163" t="s">
        <v>81</v>
      </c>
      <c r="C82" s="206">
        <v>69</v>
      </c>
      <c r="D82" s="43">
        <v>159</v>
      </c>
      <c r="E82" s="83">
        <v>1.02</v>
      </c>
      <c r="F82" s="43">
        <v>159</v>
      </c>
      <c r="G82" s="43">
        <v>159</v>
      </c>
      <c r="H82" s="43">
        <v>0.03</v>
      </c>
      <c r="I82" s="43">
        <f>E82-H82</f>
        <v>0.99</v>
      </c>
      <c r="J82" s="43">
        <v>1.2E-2</v>
      </c>
      <c r="K82" s="43">
        <v>1.2E-2</v>
      </c>
      <c r="L82" s="44">
        <f>I82/E82*100</f>
        <v>97.058823529411768</v>
      </c>
      <c r="M82" s="43">
        <v>0.08</v>
      </c>
    </row>
    <row r="83" spans="1:17" x14ac:dyDescent="0.25">
      <c r="A83" s="1">
        <v>56</v>
      </c>
      <c r="B83" s="163" t="s">
        <v>83</v>
      </c>
      <c r="C83" s="206">
        <v>62</v>
      </c>
      <c r="D83" s="43">
        <v>160.5</v>
      </c>
      <c r="E83" s="83">
        <v>1.37</v>
      </c>
      <c r="F83" s="43">
        <v>160.5</v>
      </c>
      <c r="G83" s="43">
        <v>160.5</v>
      </c>
      <c r="H83" s="43">
        <v>0.21</v>
      </c>
      <c r="I83" s="43">
        <f>E83-H83</f>
        <v>1.1600000000000001</v>
      </c>
      <c r="J83" s="43">
        <v>1.6E-2</v>
      </c>
      <c r="K83" s="43">
        <v>1.6E-2</v>
      </c>
      <c r="L83" s="44">
        <f>I83/E83*100</f>
        <v>84.671532846715337</v>
      </c>
      <c r="M83" s="43">
        <v>0.08</v>
      </c>
    </row>
    <row r="84" spans="1:17" x14ac:dyDescent="0.25">
      <c r="A84" s="1"/>
      <c r="B84" s="97" t="s">
        <v>33</v>
      </c>
      <c r="C84" s="98"/>
      <c r="D84" s="99"/>
      <c r="E84" s="164">
        <f>SUM(E73:E83)</f>
        <v>18.82</v>
      </c>
      <c r="F84" s="5"/>
      <c r="G84" s="165"/>
      <c r="H84" s="5">
        <f>SUM(H73:H83)</f>
        <v>3.8763999999999981</v>
      </c>
      <c r="I84" s="5">
        <f>SUM(I73:I83)</f>
        <v>14.943600000000005</v>
      </c>
      <c r="J84" s="166"/>
      <c r="K84" s="122"/>
      <c r="L84" s="112">
        <f>AVERAGE(L73:L83)</f>
        <v>70.662158724347321</v>
      </c>
      <c r="M84" s="5"/>
    </row>
    <row r="85" spans="1:17" ht="11.25" customHeight="1" x14ac:dyDescent="0.25">
      <c r="A85" s="1"/>
      <c r="B85" s="35" t="s">
        <v>57</v>
      </c>
      <c r="C85" s="79"/>
      <c r="D85" s="113"/>
      <c r="E85" s="167"/>
      <c r="F85" s="167"/>
      <c r="G85" s="168"/>
      <c r="H85" s="167"/>
      <c r="I85" s="167"/>
      <c r="J85" s="169"/>
      <c r="K85" s="167"/>
      <c r="L85" s="170"/>
      <c r="M85" s="171"/>
    </row>
    <row r="86" spans="1:17" x14ac:dyDescent="0.25">
      <c r="A86" s="1">
        <v>57</v>
      </c>
      <c r="B86" s="38" t="s">
        <v>58</v>
      </c>
      <c r="C86" s="47">
        <v>54.1</v>
      </c>
      <c r="D86" s="147">
        <v>152.5</v>
      </c>
      <c r="E86" s="147">
        <v>1.42</v>
      </c>
      <c r="F86" s="147">
        <v>152.5</v>
      </c>
      <c r="G86" s="70">
        <v>150.5</v>
      </c>
      <c r="H86" s="147">
        <f>(D86-G86)*541000/1000000</f>
        <v>1.0820000000000001</v>
      </c>
      <c r="I86" s="147">
        <f>E86-H86</f>
        <v>0.33799999999999986</v>
      </c>
      <c r="J86" s="198">
        <v>0</v>
      </c>
      <c r="K86" s="147">
        <f t="shared" ref="K86" si="18">J86</f>
        <v>0</v>
      </c>
      <c r="L86" s="199">
        <f>(E86-H86)/E86*100</f>
        <v>23.802816901408441</v>
      </c>
      <c r="M86" s="147">
        <v>0.05</v>
      </c>
    </row>
    <row r="87" spans="1:17" ht="13.5" customHeight="1" x14ac:dyDescent="0.25">
      <c r="A87" s="1"/>
      <c r="B87" s="172" t="s">
        <v>59</v>
      </c>
      <c r="C87" s="173"/>
      <c r="D87" s="46"/>
      <c r="E87" s="46"/>
      <c r="F87" s="46"/>
      <c r="G87" s="215"/>
      <c r="H87" s="147"/>
      <c r="I87" s="147"/>
      <c r="J87" s="198"/>
      <c r="K87" s="46"/>
      <c r="L87" s="199"/>
      <c r="M87" s="46"/>
    </row>
    <row r="88" spans="1:17" ht="21.75" customHeight="1" x14ac:dyDescent="0.25">
      <c r="A88" s="1">
        <v>58</v>
      </c>
      <c r="B88" s="174" t="s">
        <v>114</v>
      </c>
      <c r="C88" s="109">
        <v>72</v>
      </c>
      <c r="D88" s="197">
        <v>160</v>
      </c>
      <c r="E88" s="197">
        <v>1.45</v>
      </c>
      <c r="F88" s="197">
        <v>160</v>
      </c>
      <c r="G88" s="232">
        <v>159</v>
      </c>
      <c r="H88" s="147">
        <f>(D88-G88)*720000/1000000</f>
        <v>0.72</v>
      </c>
      <c r="I88" s="147">
        <f>E88-H88</f>
        <v>0.73</v>
      </c>
      <c r="J88" s="198">
        <v>0</v>
      </c>
      <c r="K88" s="197">
        <f>J88</f>
        <v>0</v>
      </c>
      <c r="L88" s="199">
        <f>(E88-H88)/E88*100</f>
        <v>50.344827586206897</v>
      </c>
      <c r="M88" s="197">
        <v>0.01</v>
      </c>
    </row>
    <row r="89" spans="1:17" ht="12.75" customHeight="1" x14ac:dyDescent="0.25">
      <c r="A89" s="1"/>
      <c r="B89" s="35" t="s">
        <v>60</v>
      </c>
      <c r="C89" s="128"/>
      <c r="D89" s="47"/>
      <c r="E89" s="216"/>
      <c r="F89" s="216"/>
      <c r="G89" s="217"/>
      <c r="H89" s="147"/>
      <c r="I89" s="147"/>
      <c r="J89" s="218"/>
      <c r="K89" s="216"/>
      <c r="L89" s="199"/>
      <c r="M89" s="219"/>
    </row>
    <row r="90" spans="1:17" ht="23.25" customHeight="1" x14ac:dyDescent="0.25">
      <c r="A90" s="1">
        <v>59</v>
      </c>
      <c r="B90" s="131" t="s">
        <v>92</v>
      </c>
      <c r="C90" s="47">
        <v>134.4</v>
      </c>
      <c r="D90" s="147">
        <v>144.5</v>
      </c>
      <c r="E90" s="147">
        <v>1.88</v>
      </c>
      <c r="F90" s="147">
        <v>144.5</v>
      </c>
      <c r="G90" s="147" t="s">
        <v>73</v>
      </c>
      <c r="H90" s="147" t="s">
        <v>73</v>
      </c>
      <c r="I90" s="147" t="s">
        <v>73</v>
      </c>
      <c r="J90" s="198" t="s">
        <v>73</v>
      </c>
      <c r="K90" s="147" t="s">
        <v>73</v>
      </c>
      <c r="L90" s="199" t="s">
        <v>73</v>
      </c>
      <c r="M90" s="147">
        <v>0.1</v>
      </c>
    </row>
    <row r="91" spans="1:17" x14ac:dyDescent="0.25">
      <c r="A91" s="1"/>
      <c r="B91" s="97" t="s">
        <v>61</v>
      </c>
      <c r="C91" s="79"/>
      <c r="D91" s="47"/>
      <c r="E91" s="47"/>
      <c r="F91" s="47"/>
      <c r="G91" s="220"/>
      <c r="H91" s="47"/>
      <c r="I91" s="47"/>
      <c r="J91" s="204"/>
      <c r="K91" s="47"/>
      <c r="L91" s="199"/>
      <c r="M91" s="147"/>
    </row>
    <row r="92" spans="1:17" ht="24" x14ac:dyDescent="0.25">
      <c r="A92" s="1">
        <v>60</v>
      </c>
      <c r="B92" s="177" t="s">
        <v>109</v>
      </c>
      <c r="C92" s="137">
        <v>106</v>
      </c>
      <c r="D92" s="214"/>
      <c r="E92" s="147">
        <v>2.8</v>
      </c>
      <c r="F92" s="147" t="s">
        <v>73</v>
      </c>
      <c r="G92" s="233"/>
      <c r="H92" s="240">
        <f>G92*1.06*-1</f>
        <v>0</v>
      </c>
      <c r="I92" s="147"/>
      <c r="J92" s="198"/>
      <c r="K92" s="147"/>
      <c r="L92" s="199"/>
      <c r="M92" s="147">
        <v>0.08</v>
      </c>
    </row>
    <row r="93" spans="1:17" ht="12" customHeight="1" x14ac:dyDescent="0.25">
      <c r="A93" s="15"/>
      <c r="B93" s="155" t="s">
        <v>62</v>
      </c>
      <c r="C93" s="178"/>
      <c r="D93" s="47"/>
      <c r="E93" s="47"/>
      <c r="F93" s="47"/>
      <c r="G93" s="220"/>
      <c r="H93" s="47"/>
      <c r="I93" s="47"/>
      <c r="J93" s="204"/>
      <c r="K93" s="47"/>
      <c r="L93" s="221"/>
      <c r="M93" s="147"/>
    </row>
    <row r="94" spans="1:17" x14ac:dyDescent="0.25">
      <c r="A94" s="6">
        <v>61</v>
      </c>
      <c r="B94" s="54" t="s">
        <v>78</v>
      </c>
      <c r="C94" s="195">
        <v>56.5</v>
      </c>
      <c r="D94" s="222">
        <v>130.94999999999999</v>
      </c>
      <c r="E94" s="223">
        <v>1.08</v>
      </c>
      <c r="F94" s="223">
        <v>130.94999999999999</v>
      </c>
      <c r="G94" s="234">
        <v>126.95</v>
      </c>
      <c r="H94" s="234">
        <v>1.08</v>
      </c>
      <c r="I94" s="234">
        <f>E94-H94</f>
        <v>0</v>
      </c>
      <c r="J94" s="234">
        <v>0</v>
      </c>
      <c r="K94" s="234">
        <v>0</v>
      </c>
      <c r="L94" s="235">
        <f>I94/E94*100</f>
        <v>0</v>
      </c>
      <c r="M94" s="234">
        <v>0.21</v>
      </c>
      <c r="Q94" s="8" t="s">
        <v>74</v>
      </c>
    </row>
    <row r="95" spans="1:17" x14ac:dyDescent="0.25">
      <c r="A95" s="6">
        <v>62</v>
      </c>
      <c r="B95" s="54" t="s">
        <v>79</v>
      </c>
      <c r="C95" s="195">
        <v>175</v>
      </c>
      <c r="D95" s="222">
        <v>97.2</v>
      </c>
      <c r="E95" s="223">
        <v>1.66</v>
      </c>
      <c r="F95" s="223">
        <v>97.2</v>
      </c>
      <c r="G95" s="234">
        <v>97.2</v>
      </c>
      <c r="H95" s="234">
        <v>0</v>
      </c>
      <c r="I95" s="234">
        <f>E95-H95</f>
        <v>1.66</v>
      </c>
      <c r="J95" s="234">
        <v>0.09</v>
      </c>
      <c r="K95" s="234">
        <v>0.09</v>
      </c>
      <c r="L95" s="235">
        <f>I95/E95*100</f>
        <v>100</v>
      </c>
      <c r="M95" s="234">
        <v>0.32</v>
      </c>
    </row>
    <row r="96" spans="1:17" x14ac:dyDescent="0.25">
      <c r="A96" s="6"/>
      <c r="B96" s="179" t="s">
        <v>33</v>
      </c>
      <c r="C96" s="180"/>
      <c r="D96" s="224"/>
      <c r="E96" s="58">
        <f>E94+E95</f>
        <v>2.74</v>
      </c>
      <c r="F96" s="58"/>
      <c r="G96" s="225"/>
      <c r="H96" s="58">
        <f>H94+H95</f>
        <v>1.08</v>
      </c>
      <c r="I96" s="58">
        <f>I94+I95</f>
        <v>1.66</v>
      </c>
      <c r="J96" s="58"/>
      <c r="K96" s="58"/>
      <c r="L96" s="226">
        <f>(L94+L95)/2</f>
        <v>50</v>
      </c>
      <c r="M96" s="58"/>
    </row>
    <row r="97" spans="1:13" x14ac:dyDescent="0.25">
      <c r="A97" s="6"/>
      <c r="B97" s="179" t="s">
        <v>63</v>
      </c>
      <c r="C97" s="181"/>
      <c r="D97" s="145"/>
      <c r="E97" s="145"/>
      <c r="F97" s="145"/>
      <c r="G97" s="227"/>
      <c r="H97" s="145"/>
      <c r="I97" s="145"/>
      <c r="J97" s="145"/>
      <c r="K97" s="145"/>
      <c r="L97" s="228"/>
      <c r="M97" s="70"/>
    </row>
    <row r="98" spans="1:13" x14ac:dyDescent="0.25">
      <c r="A98" s="6">
        <v>63</v>
      </c>
      <c r="B98" s="71" t="s">
        <v>80</v>
      </c>
      <c r="C98" s="194">
        <v>135</v>
      </c>
      <c r="D98" s="222">
        <v>139.19999999999999</v>
      </c>
      <c r="E98" s="223">
        <v>2.16</v>
      </c>
      <c r="F98" s="223">
        <v>139.19999999999999</v>
      </c>
      <c r="G98" s="234">
        <v>139.19999999999999</v>
      </c>
      <c r="H98" s="234">
        <v>0</v>
      </c>
      <c r="I98" s="234">
        <f>E98-H98</f>
        <v>2.16</v>
      </c>
      <c r="J98" s="236">
        <v>2E-3</v>
      </c>
      <c r="K98" s="236">
        <v>2E-3</v>
      </c>
      <c r="L98" s="235">
        <f>I98/E98*100</f>
        <v>100</v>
      </c>
      <c r="M98" s="234">
        <v>0.06</v>
      </c>
    </row>
    <row r="99" spans="1:13" x14ac:dyDescent="0.25">
      <c r="A99" s="1"/>
      <c r="B99" s="97" t="s">
        <v>64</v>
      </c>
      <c r="C99" s="79"/>
      <c r="D99" s="145"/>
      <c r="E99" s="145"/>
      <c r="F99" s="145"/>
      <c r="G99" s="145"/>
      <c r="H99" s="145"/>
      <c r="I99" s="145"/>
      <c r="J99" s="145"/>
      <c r="K99" s="145"/>
      <c r="L99" s="228"/>
      <c r="M99" s="229"/>
    </row>
    <row r="100" spans="1:13" ht="21.75" customHeight="1" x14ac:dyDescent="0.25">
      <c r="A100" s="1">
        <v>64</v>
      </c>
      <c r="B100" s="54" t="s">
        <v>93</v>
      </c>
      <c r="C100" s="137">
        <v>37</v>
      </c>
      <c r="D100" s="70">
        <v>120</v>
      </c>
      <c r="E100" s="70">
        <v>1.02</v>
      </c>
      <c r="F100" s="70">
        <v>120</v>
      </c>
      <c r="G100" s="70" t="s">
        <v>73</v>
      </c>
      <c r="H100" s="70" t="s">
        <v>73</v>
      </c>
      <c r="I100" s="70" t="s">
        <v>73</v>
      </c>
      <c r="J100" s="70" t="s">
        <v>73</v>
      </c>
      <c r="K100" s="70" t="s">
        <v>73</v>
      </c>
      <c r="L100" s="70" t="s">
        <v>73</v>
      </c>
      <c r="M100" s="70">
        <v>0.03</v>
      </c>
    </row>
    <row r="101" spans="1:13" x14ac:dyDescent="0.25">
      <c r="A101" s="1"/>
      <c r="B101" s="182" t="s">
        <v>72</v>
      </c>
      <c r="C101" s="80"/>
      <c r="D101" s="50"/>
      <c r="E101" s="5">
        <f>E21+E26+E39+E44+E49+E62+E71+E84+E86+E88+E90+E96+E98+E92</f>
        <v>147.15</v>
      </c>
      <c r="F101" s="5"/>
      <c r="G101" s="5"/>
      <c r="H101" s="5">
        <f>H21+H26+H39+H44+H49+H62+H71+H84+H86+H88+H92+H96</f>
        <v>15.834500000000013</v>
      </c>
      <c r="I101" s="5">
        <f>I21+I26+I39+I44+I49+I62+I71+I84+I86+I88+I92+I96</f>
        <v>118.74549999999999</v>
      </c>
      <c r="J101" s="5"/>
      <c r="K101" s="5"/>
      <c r="L101" s="183">
        <f>I101/E101*100</f>
        <v>80.696907917091394</v>
      </c>
      <c r="M101" s="175"/>
    </row>
    <row r="102" spans="1:13" x14ac:dyDescent="0.25">
      <c r="A102" s="19"/>
      <c r="B102" s="242" t="s">
        <v>85</v>
      </c>
      <c r="C102" s="242"/>
      <c r="D102" s="242"/>
      <c r="E102" s="242"/>
      <c r="F102" s="242"/>
      <c r="G102" s="242"/>
      <c r="H102" s="242"/>
      <c r="I102" s="242"/>
      <c r="J102" s="242"/>
      <c r="K102" s="242"/>
      <c r="L102" s="242"/>
      <c r="M102" s="243"/>
    </row>
    <row r="103" spans="1:13" x14ac:dyDescent="0.25">
      <c r="A103" s="230">
        <v>1</v>
      </c>
      <c r="B103" s="241" t="s">
        <v>112</v>
      </c>
      <c r="C103" s="176">
        <v>134</v>
      </c>
      <c r="D103" s="176">
        <v>102.1</v>
      </c>
      <c r="E103" s="176">
        <v>2.41</v>
      </c>
      <c r="F103" s="176">
        <v>102.1</v>
      </c>
      <c r="G103" s="42">
        <v>100.9</v>
      </c>
      <c r="H103" s="176">
        <f>(D103-G103)*1.34</f>
        <v>1.6079999999999848</v>
      </c>
      <c r="I103" s="176">
        <f>E103-H103</f>
        <v>0.80200000000001537</v>
      </c>
      <c r="J103" s="184">
        <v>0.02</v>
      </c>
      <c r="K103" s="184">
        <v>0.02</v>
      </c>
      <c r="L103" s="185">
        <f>I103/E103*100</f>
        <v>33.278008298755822</v>
      </c>
      <c r="M103" s="176"/>
    </row>
    <row r="104" spans="1:13" x14ac:dyDescent="0.25">
      <c r="A104" s="231">
        <v>2</v>
      </c>
      <c r="B104" s="39" t="s">
        <v>86</v>
      </c>
      <c r="C104" s="50">
        <v>339</v>
      </c>
      <c r="D104" s="50">
        <v>169.5</v>
      </c>
      <c r="E104" s="50">
        <v>4.0599999999999996</v>
      </c>
      <c r="F104" s="50">
        <v>169.5</v>
      </c>
      <c r="G104" s="42">
        <v>169.32</v>
      </c>
      <c r="H104" s="50">
        <f>(D104-G104)*3.39</f>
        <v>0.61020000000002317</v>
      </c>
      <c r="I104" s="50">
        <f t="shared" ref="I104:I105" si="19">E104-H104</f>
        <v>3.4497999999999767</v>
      </c>
      <c r="J104" s="186">
        <v>0.08</v>
      </c>
      <c r="K104" s="186">
        <v>0.08</v>
      </c>
      <c r="L104" s="114">
        <f t="shared" ref="L104:L105" si="20">I104/E104*100</f>
        <v>84.97044334975314</v>
      </c>
      <c r="M104" s="50"/>
    </row>
    <row r="105" spans="1:13" x14ac:dyDescent="0.25">
      <c r="A105" s="231">
        <v>3</v>
      </c>
      <c r="B105" s="39" t="s">
        <v>87</v>
      </c>
      <c r="C105" s="50">
        <v>40.200000000000003</v>
      </c>
      <c r="D105" s="50">
        <v>180.1</v>
      </c>
      <c r="E105" s="50">
        <v>1</v>
      </c>
      <c r="F105" s="50">
        <v>180.1</v>
      </c>
      <c r="G105" s="42">
        <v>178.6</v>
      </c>
      <c r="H105" s="50">
        <f>(D105-G105)*0.4</f>
        <v>0.60000000000000009</v>
      </c>
      <c r="I105" s="50">
        <f t="shared" si="19"/>
        <v>0.39999999999999991</v>
      </c>
      <c r="J105" s="186">
        <v>0</v>
      </c>
      <c r="K105" s="186">
        <v>0</v>
      </c>
      <c r="L105" s="114">
        <f t="shared" si="20"/>
        <v>39.999999999999993</v>
      </c>
      <c r="M105" s="50"/>
    </row>
    <row r="106" spans="1:13" x14ac:dyDescent="0.25">
      <c r="A106" s="18"/>
      <c r="B106" s="187"/>
      <c r="C106" s="5"/>
      <c r="D106" s="5"/>
      <c r="E106" s="5">
        <f>SUM(E103:E105)</f>
        <v>7.47</v>
      </c>
      <c r="F106" s="5"/>
      <c r="G106" s="188"/>
      <c r="H106" s="5">
        <f>SUM(H103:H105)</f>
        <v>2.818200000000008</v>
      </c>
      <c r="I106" s="5">
        <f>SUM(I103:I105)</f>
        <v>4.6517999999999926</v>
      </c>
      <c r="J106" s="5"/>
      <c r="K106" s="5"/>
      <c r="L106" s="112">
        <f>(L103+L104+L105)/3</f>
        <v>52.749483882836323</v>
      </c>
      <c r="M106" s="5"/>
    </row>
    <row r="107" spans="1:13" x14ac:dyDescent="0.25"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</row>
    <row r="108" spans="1:13" x14ac:dyDescent="0.25">
      <c r="B108" s="17"/>
      <c r="C108" s="17"/>
      <c r="D108" s="17"/>
      <c r="E108" s="17"/>
      <c r="F108" s="17"/>
      <c r="G108" s="189"/>
      <c r="H108" s="17"/>
      <c r="I108" s="17"/>
      <c r="J108" s="17"/>
      <c r="K108" s="17"/>
      <c r="L108" s="17"/>
      <c r="M108" s="17"/>
    </row>
    <row r="109" spans="1:13" x14ac:dyDescent="0.25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</row>
  </sheetData>
  <mergeCells count="9">
    <mergeCell ref="B102:M102"/>
    <mergeCell ref="B1:M1"/>
    <mergeCell ref="B2:M2"/>
    <mergeCell ref="B3:M3"/>
    <mergeCell ref="C4:E4"/>
    <mergeCell ref="F4:K4"/>
    <mergeCell ref="M4:M8"/>
    <mergeCell ref="L4:L8"/>
    <mergeCell ref="K5:K8"/>
  </mergeCells>
  <pageMargins left="0.11811023622047245" right="0.11811023622047245" top="0" bottom="0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2023-01-17T09:30:04Z</cp:lastPrinted>
  <dcterms:created xsi:type="dcterms:W3CDTF">2018-12-04T11:50:50Z</dcterms:created>
  <dcterms:modified xsi:type="dcterms:W3CDTF">2023-02-02T08:59:12Z</dcterms:modified>
</cp:coreProperties>
</file>